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66925"/>
  <mc:AlternateContent xmlns:mc="http://schemas.openxmlformats.org/markup-compatibility/2006">
    <mc:Choice Requires="x15">
      <x15ac:absPath xmlns:x15ac="http://schemas.microsoft.com/office/spreadsheetml/2010/11/ac" url="C:\Users\annabelle.djeribi\Documents\10. Communication\3_Les p'tits fundis\Annee-scolaire-2024-2025\AAP 2024-2025\1_Formulaire_2024\AAP- Ptits_fundis_2024-2025_V2\"/>
    </mc:Choice>
  </mc:AlternateContent>
  <xr:revisionPtr revIDLastSave="0" documentId="13_ncr:1_{F267311A-EB4D-4256-B9EB-57D4653B2284}" xr6:coauthVersionLast="36" xr6:coauthVersionMax="36" xr10:uidLastSave="{00000000-0000-0000-0000-000000000000}"/>
  <bookViews>
    <workbookView xWindow="0" yWindow="0" windowWidth="23040" windowHeight="8772" tabRatio="673" activeTab="1" xr2:uid="{E93C66F2-C0CA-4345-A550-15DFB0F079AC}"/>
  </bookViews>
  <sheets>
    <sheet name="0 - Lisez-moi" sheetId="3" r:id="rId1"/>
    <sheet name="Demandeur 1" sheetId="4" r:id="rId2"/>
    <sheet name="Annexe financière convention" sheetId="5" r:id="rId3"/>
  </sheets>
  <definedNames>
    <definedName name="_ftn1" localSheetId="1">'Demandeur 1'!#REF!</definedName>
    <definedName name="_ftnref1" localSheetId="1">'Demandeur 1'!#REF!</definedName>
    <definedName name="_xlnm.Print_Titles" localSheetId="1">'Demandeur 1'!$A:$A</definedName>
    <definedName name="_xlnm.Print_Area" localSheetId="0">'0 - Lisez-moi'!#REF!</definedName>
    <definedName name="_xlnm.Print_Area" localSheetId="1">'Demandeur 1'!$A$1:$G$127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4" l="1"/>
  <c r="G1" i="5" l="1"/>
  <c r="M48" i="4" l="1"/>
  <c r="J18" i="4" l="1"/>
  <c r="B65" i="5" l="1"/>
  <c r="B67" i="5" s="1"/>
  <c r="B64" i="5"/>
  <c r="D64" i="5" s="1"/>
  <c r="D12" i="4"/>
  <c r="E51" i="5"/>
  <c r="E50" i="5"/>
  <c r="E49" i="5"/>
  <c r="E47" i="5"/>
  <c r="E46" i="5"/>
  <c r="E45" i="5"/>
  <c r="E44" i="5"/>
  <c r="E43" i="5"/>
  <c r="E42" i="5"/>
  <c r="E41" i="5"/>
  <c r="E40" i="5"/>
  <c r="E39" i="5"/>
  <c r="E38" i="5"/>
  <c r="E37" i="5"/>
  <c r="E35" i="5"/>
  <c r="E34" i="5"/>
  <c r="E25" i="5"/>
  <c r="E26" i="5"/>
  <c r="E20" i="5"/>
  <c r="E15" i="5"/>
  <c r="E14" i="5"/>
  <c r="E13" i="5"/>
  <c r="E9" i="5"/>
  <c r="E8" i="5"/>
  <c r="E7" i="5"/>
  <c r="E6" i="5"/>
  <c r="J113" i="4"/>
  <c r="J112" i="4"/>
  <c r="J111" i="4"/>
  <c r="J110" i="4"/>
  <c r="J109" i="4"/>
  <c r="J108" i="4"/>
  <c r="J107" i="4"/>
  <c r="J106" i="4"/>
  <c r="J105" i="4"/>
  <c r="J104" i="4"/>
  <c r="J102" i="4"/>
  <c r="J96" i="4"/>
  <c r="J95" i="4"/>
  <c r="J94" i="4"/>
  <c r="J93" i="4"/>
  <c r="J92" i="4"/>
  <c r="J91" i="4"/>
  <c r="J90" i="4"/>
  <c r="J89" i="4"/>
  <c r="J88" i="4"/>
  <c r="J87" i="4"/>
  <c r="J85" i="4"/>
  <c r="M71" i="4"/>
  <c r="L65" i="4"/>
  <c r="M79" i="4" s="1"/>
  <c r="F12" i="4"/>
  <c r="D56" i="5" s="1"/>
  <c r="J27" i="4"/>
  <c r="G15" i="5" s="1"/>
  <c r="J26" i="4"/>
  <c r="G14" i="5" s="1"/>
  <c r="J25" i="4"/>
  <c r="G13" i="5" s="1"/>
  <c r="J21" i="4"/>
  <c r="G9" i="5" s="1"/>
  <c r="J20" i="4"/>
  <c r="G8" i="5" s="1"/>
  <c r="G6" i="5"/>
  <c r="K7" i="4"/>
  <c r="B66" i="5" s="1"/>
  <c r="D125" i="4"/>
  <c r="C125" i="4"/>
  <c r="B125" i="4"/>
  <c r="E124" i="4"/>
  <c r="E123" i="4"/>
  <c r="E122" i="4"/>
  <c r="E121" i="4"/>
  <c r="E120" i="4"/>
  <c r="D113" i="4"/>
  <c r="C113" i="4"/>
  <c r="G112" i="4"/>
  <c r="F112" i="4"/>
  <c r="E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D101" i="4"/>
  <c r="C101" i="4"/>
  <c r="B101" i="4"/>
  <c r="D96" i="4"/>
  <c r="C96" i="4"/>
  <c r="G95" i="4"/>
  <c r="E95" i="4"/>
  <c r="G94" i="4"/>
  <c r="E94" i="4"/>
  <c r="G93" i="4"/>
  <c r="E93" i="4"/>
  <c r="G92" i="4"/>
  <c r="E92" i="4"/>
  <c r="G91" i="4"/>
  <c r="E91" i="4"/>
  <c r="G90" i="4"/>
  <c r="E90" i="4"/>
  <c r="G89" i="4"/>
  <c r="E89" i="4"/>
  <c r="G88" i="4"/>
  <c r="E88" i="4"/>
  <c r="G87" i="4"/>
  <c r="E87" i="4"/>
  <c r="G86" i="4"/>
  <c r="E86" i="4"/>
  <c r="D84" i="4"/>
  <c r="C84" i="4"/>
  <c r="B84" i="4"/>
  <c r="B72" i="4"/>
  <c r="B65" i="4"/>
  <c r="E48" i="5" s="1"/>
  <c r="B53" i="4"/>
  <c r="B69" i="4" s="1"/>
  <c r="B44" i="4"/>
  <c r="E27" i="5" s="1"/>
  <c r="K31" i="4" l="1"/>
  <c r="E125" i="4"/>
  <c r="B28" i="4" s="1"/>
  <c r="E16" i="5" s="1"/>
  <c r="M81" i="4"/>
  <c r="J42" i="4" s="1"/>
  <c r="J43" i="4" s="1"/>
  <c r="A46" i="4"/>
  <c r="E65" i="5"/>
  <c r="E64" i="5"/>
  <c r="C64" i="5"/>
  <c r="A72" i="5"/>
  <c r="B72" i="5"/>
  <c r="M66" i="4"/>
  <c r="J74" i="4"/>
  <c r="E113" i="4"/>
  <c r="B24" i="4" s="1"/>
  <c r="E12" i="5" s="1"/>
  <c r="F113" i="4"/>
  <c r="J24" i="4" s="1"/>
  <c r="G12" i="5" s="1"/>
  <c r="E96" i="4"/>
  <c r="B23" i="4" s="1"/>
  <c r="E11" i="5" s="1"/>
  <c r="E52" i="5"/>
  <c r="E29" i="5"/>
  <c r="E36" i="5"/>
  <c r="B69" i="5"/>
  <c r="A74" i="5" s="1"/>
  <c r="C65" i="5"/>
  <c r="D65" i="5"/>
  <c r="A73" i="5"/>
  <c r="B73" i="5" s="1"/>
  <c r="J28" i="4" l="1"/>
  <c r="G16" i="5" s="1"/>
  <c r="F86" i="4"/>
  <c r="F95" i="4"/>
  <c r="F87" i="4"/>
  <c r="F88" i="4"/>
  <c r="F94" i="4"/>
  <c r="F90" i="4"/>
  <c r="F93" i="4"/>
  <c r="F89" i="4"/>
  <c r="F92" i="4"/>
  <c r="F91" i="4"/>
  <c r="B22" i="4"/>
  <c r="B29" i="4" s="1"/>
  <c r="J19" i="4" s="1"/>
  <c r="G7" i="5" s="1"/>
  <c r="B74" i="5"/>
  <c r="C73" i="5"/>
  <c r="D73" i="5" s="1"/>
  <c r="C74" i="5"/>
  <c r="D74" i="5" s="1"/>
  <c r="C72" i="5"/>
  <c r="D72" i="5" s="1"/>
  <c r="K28" i="4" l="1"/>
  <c r="F96" i="4"/>
  <c r="J23" i="4" s="1"/>
  <c r="G11" i="5" s="1"/>
  <c r="E10" i="5"/>
  <c r="K26" i="4"/>
  <c r="E17" i="5"/>
  <c r="K24" i="4"/>
  <c r="K19" i="4"/>
  <c r="K27" i="4"/>
  <c r="K18" i="4"/>
  <c r="K20" i="4"/>
  <c r="K25" i="4"/>
  <c r="B34" i="4"/>
  <c r="K21" i="4"/>
  <c r="D75" i="5"/>
  <c r="E22" i="5" l="1"/>
  <c r="B36" i="4"/>
  <c r="C36" i="4" s="1"/>
  <c r="K23" i="4"/>
  <c r="J22" i="4"/>
  <c r="B12" i="4"/>
  <c r="B56" i="5" s="1"/>
  <c r="D72" i="4"/>
  <c r="K58" i="4"/>
  <c r="J32" i="4"/>
  <c r="G20" i="5" l="1"/>
  <c r="K22" i="4"/>
  <c r="G10" i="5"/>
  <c r="J29" i="4"/>
  <c r="G17" i="5" s="1"/>
  <c r="K32" i="4"/>
  <c r="J34" i="4" l="1"/>
  <c r="M58" i="4" s="1"/>
  <c r="C12" i="4" l="1"/>
  <c r="C56" i="5" s="1"/>
  <c r="G22" i="5"/>
  <c r="J37" i="4"/>
  <c r="K59" i="4" s="1"/>
  <c r="M55" i="4"/>
  <c r="M49" i="4"/>
  <c r="M51" i="4"/>
  <c r="E12" i="4" l="1"/>
  <c r="A70" i="4"/>
  <c r="G12" i="4"/>
  <c r="E56" i="5" s="1"/>
  <c r="E30" i="5"/>
</calcChain>
</file>

<file path=xl/sharedStrings.xml><?xml version="1.0" encoding="utf-8"?>
<sst xmlns="http://schemas.openxmlformats.org/spreadsheetml/2006/main" count="393" uniqueCount="282">
  <si>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</si>
  <si>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</si>
  <si>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</si>
  <si>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</si>
  <si>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</si>
  <si>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</si>
  <si>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</si>
  <si>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</si>
  <si>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</si>
  <si>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</si>
  <si>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</si>
  <si>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</si>
  <si>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</si>
  <si>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</si>
  <si>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</si>
  <si>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</si>
  <si>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</si>
  <si>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</si>
  <si>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</si>
  <si>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</si>
  <si>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</si>
  <si>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</si>
  <si>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</si>
  <si>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</si>
  <si>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</si>
  <si>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</si>
  <si>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</si>
  <si>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</si>
  <si>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</si>
  <si>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</si>
  <si>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</si>
  <si>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</si>
  <si>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</si>
  <si>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</si>
  <si>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</si>
  <si>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</si>
  <si>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</si>
  <si>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</si>
  <si>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</si>
  <si>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</si>
  <si>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</si>
  <si>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</si>
  <si>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</si>
  <si>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</si>
  <si>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</si>
  <si>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</si>
  <si>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</si>
  <si>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</si>
  <si>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</si>
  <si>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</si>
  <si>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</si>
  <si>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</si>
  <si>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</si>
  <si>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</si>
  <si>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</si>
  <si>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</si>
  <si>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</si>
  <si>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</si>
  <si>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</si>
  <si>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</si>
  <si>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</si>
  <si>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</si>
  <si>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</si>
  <si>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</si>
  <si>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</si>
  <si>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</si>
  <si>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</si>
  <si>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</si>
  <si>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</si>
  <si>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</si>
  <si>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</si>
  <si>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</si>
  <si>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</si>
  <si>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</si>
  <si>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</si>
  <si>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</si>
  <si>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</si>
  <si>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</si>
  <si>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</si>
  <si>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</si>
  <si>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</si>
  <si>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</si>
  <si>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</si>
  <si>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</si>
  <si>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</si>
  <si>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</si>
  <si>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</si>
  <si>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</si>
  <si>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</si>
  <si>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</si>
  <si>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</si>
  <si>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</si>
  <si>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</si>
  <si>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</si>
  <si>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</si>
  <si>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</si>
  <si>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</si>
  <si>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</si>
  <si>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</si>
  <si>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</si>
  <si>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</si>
  <si>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</si>
  <si>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</si>
  <si>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</si>
  <si>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</si>
  <si>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</si>
  <si>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</si>
  <si>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</si>
  <si>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</si>
  <si>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</si>
  <si>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</si>
  <si>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</si>
  <si>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</si>
  <si>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</si>
  <si>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</si>
  <si>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</si>
  <si>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</si>
  <si>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</si>
  <si>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</si>
  <si>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</si>
  <si>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</si>
  <si>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</si>
  <si>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</si>
  <si>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</si>
  <si>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</si>
  <si>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</si>
  <si>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</si>
  <si>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</si>
  <si>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</si>
  <si>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</si>
  <si>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</si>
  <si>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</si>
  <si>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</si>
  <si>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</si>
  <si>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</si>
  <si>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</si>
  <si>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</si>
  <si>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</si>
  <si>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</si>
  <si>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</si>
  <si>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</si>
  <si>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</si>
  <si>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</si>
  <si>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</si>
  <si>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</si>
  <si>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</si>
  <si>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</si>
  <si>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</si>
  <si>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</si>
  <si>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</si>
  <si>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</si>
  <si>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</si>
  <si>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</si>
  <si>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</si>
  <si>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</si>
  <si>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</si>
  <si>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</si>
  <si>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</si>
  <si>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</si>
  <si>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</si>
  <si>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</si>
  <si>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</si>
  <si>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</si>
  <si>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</si>
  <si>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</si>
  <si>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</si>
  <si>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</si>
  <si>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</si>
  <si>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</si>
  <si>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</si>
  <si>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</si>
  <si>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</si>
  <si>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</si>
  <si>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</si>
  <si>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</si>
  <si>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</si>
  <si>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</si>
  <si>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</si>
  <si>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</si>
  <si>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</si>
  <si>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</si>
  <si>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</si>
  <si>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</si>
  <si>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</si>
  <si>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</si>
  <si>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</si>
  <si>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</si>
  <si>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</si>
  <si>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</si>
  <si>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</si>
  <si>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</si>
  <si>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</si>
  <si>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</si>
  <si>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</si>
  <si>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Détailler les financements sollicités -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</si>
  <si>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</si>
  <si>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</si>
  <si>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</si>
  <si>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</si>
  <si>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</si>
  <si>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</si>
  <si>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</si>
  <si>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</si>
  <si>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</si>
  <si>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</si>
  <si>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</si>
  <si>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</si>
  <si>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</si>
  <si>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</si>
  <si>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</si>
  <si>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</si>
  <si>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</si>
  <si>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</si>
  <si>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</si>
  <si>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</si>
  <si>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</si>
  <si>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</si>
  <si>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</si>
  <si>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</si>
  <si>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</si>
  <si>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</si>
  <si>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</si>
  <si>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</si>
  <si>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</si>
  <si>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</si>
  <si>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</si>
  <si>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</si>
  <si>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</si>
  <si>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</si>
  <si>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</si>
  <si>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</si>
  <si>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</si>
  <si>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</si>
  <si>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</si>
  <si>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</si>
  <si>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</si>
  <si>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</si>
  <si>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</si>
  <si>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</si>
  <si>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</si>
  <si>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</si>
  <si>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</si>
  <si>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</si>
  <si>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</si>
  <si>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</si>
  <si>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</si>
  <si>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</si>
  <si>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</si>
  <si>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</si>
  <si>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</si>
  <si>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</si>
  <si>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</si>
  <si>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</si>
  <si>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</si>
  <si>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</si>
  <si>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</si>
  <si>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</si>
  <si>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</si>
  <si>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</si>
  <si>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</si>
  <si>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</si>
  <si>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</si>
  <si>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</si>
  <si>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</si>
  <si>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</si>
  <si>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</si>
  <si>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</si>
  <si>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</si>
  <si>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</si>
  <si>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</si>
  <si>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</si>
  <si>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Préciez ici. (hors dépenses d'investissement à renseigner dans les amortissements)</t>
  </si>
  <si>
    <t>Dépenses d'amortissement des investissements (dépenses d'équipement immobilisées - uniquement amortissement) (68)</t>
  </si>
  <si>
    <t>V2.2</t>
  </si>
  <si>
    <t xml:space="preserve">S'il s'agit d'une subvention en nature de l'OFB, reporter ce montant </t>
  </si>
  <si>
    <t>Subvention en nature attribuée par l'OFB</t>
  </si>
  <si>
    <t>L'aide financière attribuée par l'OFB est de</t>
  </si>
  <si>
    <t>L'aide en nature attribuée par l'OFB est de</t>
  </si>
  <si>
    <t xml:space="preserve">soit un taux d'aide / assiette éligible global (financier + non financier) de </t>
  </si>
  <si>
    <t xml:space="preserve">Le lagon entre dans mon village </t>
  </si>
  <si>
    <t>Ecole de CARA - commune de Babouyi - Mayotte (classe de CM1)</t>
  </si>
  <si>
    <t xml:space="preserve">Association, fondation et assimilé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</si>
</sst>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bottom style="double">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48">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0" fillId="0" borderId="0" xfId="0" applyFont="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1" fillId="0" borderId="1" xfId="0" applyFont="1" applyBorder="1" applyAlignment="1">
      <alignment vertical="center" wrapText="1"/>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11" fillId="10" borderId="46" xfId="0" applyFont="1" applyFill="1" applyBorder="1" applyAlignment="1">
      <alignment vertical="center"/>
    </xf>
    <xf numFmtId="0" fontId="22" fillId="0" borderId="0" xfId="0" applyFont="1" applyAlignment="1">
      <alignment vertical="center"/>
    </xf>
    <xf numFmtId="0" fontId="11" fillId="7" borderId="46" xfId="0" applyFont="1" applyFill="1" applyBorder="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0" fontId="1" fillId="0" borderId="1" xfId="0" applyFont="1" applyBorder="1" applyAlignment="1">
      <alignment horizontal="center" vertical="center" wrapText="1"/>
    </xf>
    <xf numFmtId="4" fontId="24" fillId="4" borderId="24" xfId="0" applyNumberFormat="1" applyFont="1" applyFill="1" applyBorder="1" applyAlignment="1">
      <alignment horizontal="right" vertical="center" wrapText="1"/>
    </xf>
    <xf numFmtId="10" fontId="24" fillId="4" borderId="11" xfId="2"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5" fillId="7" borderId="4" xfId="0" applyNumberFormat="1" applyFont="1" applyFill="1" applyBorder="1" applyAlignment="1" applyProtection="1">
      <alignment vertical="center"/>
      <protection locked="0"/>
    </xf>
    <xf numFmtId="43" fontId="25"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5" xfId="0" applyFont="1" applyBorder="1" applyAlignment="1">
      <alignment horizontal="left" vertical="center"/>
    </xf>
    <xf numFmtId="0" fontId="15" fillId="0" borderId="76"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6" xfId="0" applyFont="1" applyFill="1" applyBorder="1" applyAlignment="1">
      <alignment vertical="center" wrapText="1"/>
    </xf>
    <xf numFmtId="43" fontId="15" fillId="4" borderId="72" xfId="1" applyFont="1" applyFill="1" applyBorder="1" applyAlignment="1">
      <alignment vertical="center"/>
    </xf>
    <xf numFmtId="0" fontId="15" fillId="0" borderId="77" xfId="0" applyFont="1" applyFill="1" applyBorder="1" applyAlignment="1">
      <alignment vertical="center" wrapText="1"/>
    </xf>
    <xf numFmtId="43" fontId="15" fillId="4" borderId="78"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80"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pplyProtection="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7" xfId="0" applyNumberFormat="1" applyFont="1" applyFill="1" applyBorder="1" applyAlignment="1">
      <alignment horizontal="left" vertical="center"/>
    </xf>
    <xf numFmtId="0" fontId="7" fillId="15" borderId="83" xfId="0" applyFont="1" applyFill="1" applyBorder="1" applyAlignment="1">
      <alignment vertical="center"/>
    </xf>
    <xf numFmtId="0" fontId="7" fillId="15" borderId="85"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51" fillId="11" borderId="85"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25" fillId="7" borderId="1" xfId="0" applyFont="1" applyFill="1" applyBorder="1" applyAlignment="1">
      <alignment horizontal="left" vertical="center" wrapText="1"/>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25" fillId="16" borderId="8" xfId="0" applyFont="1" applyFill="1" applyBorder="1" applyAlignment="1">
      <alignment horizontal="left" vertical="center" wrapText="1"/>
    </xf>
    <xf numFmtId="43" fontId="25" fillId="16" borderId="1" xfId="1" applyFont="1" applyFill="1" applyBorder="1" applyAlignment="1">
      <alignment horizontal="center" vertical="center" wrapText="1"/>
    </xf>
    <xf numFmtId="0" fontId="1" fillId="16" borderId="55" xfId="0" applyFont="1" applyFill="1" applyBorder="1" applyAlignment="1">
      <alignment vertical="center"/>
    </xf>
    <xf numFmtId="0" fontId="1" fillId="16" borderId="56" xfId="0" applyFont="1" applyFill="1" applyBorder="1" applyAlignment="1">
      <alignment vertical="center"/>
    </xf>
    <xf numFmtId="44" fontId="1" fillId="16" borderId="68" xfId="10" applyFont="1" applyFill="1" applyBorder="1" applyAlignment="1">
      <alignment vertical="center"/>
    </xf>
    <xf numFmtId="10" fontId="1" fillId="16" borderId="64" xfId="2" applyNumberFormat="1" applyFont="1" applyFill="1" applyBorder="1" applyAlignment="1">
      <alignment vertical="center"/>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11" fillId="0" borderId="39" xfId="0" applyFont="1" applyBorder="1" applyAlignment="1">
      <alignment horizontal="left" vertical="top" wrapText="1"/>
    </xf>
    <xf numFmtId="0" fontId="6" fillId="11" borderId="39" xfId="0" applyFont="1" applyFill="1" applyBorder="1" applyAlignment="1">
      <alignment horizontal="left" vertical="top" wrapText="1"/>
    </xf>
    <xf numFmtId="0" fontId="21" fillId="0" borderId="1"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21" fillId="0" borderId="11"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0" borderId="27" xfId="0" applyFont="1" applyBorder="1" applyAlignment="1">
      <alignment horizontal="left" vertical="center"/>
    </xf>
    <xf numFmtId="0" fontId="23" fillId="0" borderId="3" xfId="0" applyFont="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24" fillId="7" borderId="1" xfId="0" applyFont="1" applyFill="1" applyBorder="1" applyAlignment="1">
      <alignment horizontal="left" vertical="center" wrapText="1"/>
    </xf>
    <xf numFmtId="0" fontId="12" fillId="0" borderId="0" xfId="0" applyFont="1" applyAlignment="1">
      <alignment horizontal="left" vertical="center"/>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39" fillId="4" borderId="9" xfId="0" applyFont="1" applyFill="1" applyBorder="1" applyAlignment="1">
      <alignment horizontal="left" vertical="center"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5" fillId="0" borderId="58" xfId="0" applyNumberFormat="1" applyFont="1" applyFill="1" applyBorder="1" applyAlignment="1">
      <alignment horizontal="left" vertical="center" wrapText="1"/>
    </xf>
    <xf numFmtId="4" fontId="25" fillId="0" borderId="0" xfId="0" applyNumberFormat="1" applyFont="1" applyFill="1" applyBorder="1" applyAlignment="1">
      <alignment horizontal="left" vertical="center" wrapText="1"/>
    </xf>
    <xf numFmtId="4" fontId="25" fillId="0" borderId="54" xfId="0" applyNumberFormat="1"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1" fillId="16" borderId="69" xfId="0" applyFont="1" applyFill="1" applyBorder="1" applyAlignment="1">
      <alignment horizontal="center" vertical="center" wrapText="1"/>
    </xf>
    <xf numFmtId="0" fontId="1" fillId="16" borderId="66" xfId="0" applyFont="1" applyFill="1" applyBorder="1" applyAlignment="1">
      <alignment horizontal="center" vertical="center" wrapText="1"/>
    </xf>
    <xf numFmtId="0" fontId="1" fillId="16" borderId="88" xfId="0" applyFont="1" applyFill="1" applyBorder="1" applyAlignment="1">
      <alignment horizontal="center" vertical="center" wrapText="1"/>
    </xf>
    <xf numFmtId="0" fontId="27" fillId="13" borderId="46" xfId="0"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7" fillId="13" borderId="85"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6" xfId="0" applyFont="1" applyFill="1" applyBorder="1" applyAlignment="1" applyProtection="1">
      <alignment horizontal="left" vertical="center" wrapText="1"/>
    </xf>
    <xf numFmtId="0" fontId="27" fillId="11" borderId="86"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1" fillId="6" borderId="46" xfId="0" applyFont="1" applyFill="1" applyBorder="1" applyAlignment="1" applyProtection="1">
      <alignment horizontal="left" vertical="center" wrapText="1"/>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8">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172456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topLeftCell="A16" zoomScale="115" zoomScaleNormal="115" zoomScaleSheetLayoutView="70" workbookViewId="0">
      <selection activeCell="A4" sqref="A4:D4"/>
    </sheetView>
  </sheetViews>
  <sheetFormatPr baseColWidth="10" defaultRowHeight="14.4" x14ac:dyDescent="0.3"/>
  <cols>
    <col min="1" max="1" width="26.6640625" customWidth="1"/>
    <col min="2" max="2" width="56.88671875" customWidth="1"/>
    <col min="3" max="3" width="20.6640625" style="12" customWidth="1"/>
    <col min="4" max="4" width="13" customWidth="1"/>
  </cols>
  <sheetData>
    <row r="1" spans="1:13" ht="74.25" customHeight="1" x14ac:dyDescent="0.3">
      <c r="A1" s="56"/>
      <c r="B1" s="57" t="s">
        <v>126</v>
      </c>
      <c r="C1" s="58"/>
      <c r="D1" s="58"/>
    </row>
    <row r="2" spans="1:13" s="3" customFormat="1" x14ac:dyDescent="0.3">
      <c r="A2" s="59" t="s">
        <v>127</v>
      </c>
      <c r="B2" s="60"/>
      <c r="C2" s="60"/>
      <c r="D2" s="60"/>
    </row>
    <row r="3" spans="1:13" s="3" customFormat="1" x14ac:dyDescent="0.3">
      <c r="A3" s="61" t="s">
        <v>23</v>
      </c>
      <c r="B3" s="60"/>
      <c r="C3" s="60"/>
      <c r="D3" s="60"/>
    </row>
    <row r="4" spans="1:13" s="4" customFormat="1" ht="30" customHeight="1" x14ac:dyDescent="0.3">
      <c r="A4" s="430" t="s">
        <v>105</v>
      </c>
      <c r="B4" s="430"/>
      <c r="C4" s="430"/>
      <c r="D4" s="430"/>
    </row>
    <row r="5" spans="1:13" s="11" customFormat="1" ht="43.5" customHeight="1" thickBot="1" x14ac:dyDescent="0.35">
      <c r="A5" s="444" t="s">
        <v>11</v>
      </c>
      <c r="B5" s="445"/>
      <c r="C5" s="445"/>
      <c r="D5" s="445"/>
    </row>
    <row r="6" spans="1:13" ht="57.6" x14ac:dyDescent="0.3">
      <c r="A6" s="14" t="s">
        <v>5</v>
      </c>
      <c r="B6" s="450" t="s">
        <v>24</v>
      </c>
      <c r="C6" s="451"/>
      <c r="D6" s="62" t="s">
        <v>31</v>
      </c>
      <c r="E6" s="4"/>
      <c r="F6" s="4"/>
      <c r="G6" s="4"/>
      <c r="H6" s="4"/>
      <c r="I6" s="4"/>
      <c r="J6" s="5"/>
      <c r="K6" s="4"/>
      <c r="L6" s="4"/>
      <c r="M6" s="4"/>
    </row>
    <row r="7" spans="1:13" ht="62.25" customHeight="1" thickBot="1" x14ac:dyDescent="0.35">
      <c r="A7" s="446" t="s">
        <v>104</v>
      </c>
      <c r="B7" s="447"/>
      <c r="C7" s="447"/>
      <c r="D7" s="47">
        <v>14</v>
      </c>
    </row>
    <row r="8" spans="1:13" ht="15" thickBot="1" x14ac:dyDescent="0.35">
      <c r="A8" s="18" t="s">
        <v>9</v>
      </c>
      <c r="B8" s="448"/>
      <c r="C8" s="449"/>
      <c r="D8" s="23"/>
    </row>
    <row r="9" spans="1:13" ht="100.5" customHeight="1" thickBot="1" x14ac:dyDescent="0.35">
      <c r="A9" s="63" t="s">
        <v>87</v>
      </c>
      <c r="B9" s="431" t="s">
        <v>97</v>
      </c>
      <c r="C9" s="431"/>
      <c r="D9" s="46" t="s">
        <v>32</v>
      </c>
    </row>
    <row r="10" spans="1:13" ht="78.75" customHeight="1" x14ac:dyDescent="0.3">
      <c r="A10" s="64" t="s">
        <v>128</v>
      </c>
      <c r="B10" s="432" t="s">
        <v>129</v>
      </c>
      <c r="C10" s="432"/>
      <c r="D10" s="21" t="s">
        <v>57</v>
      </c>
    </row>
    <row r="11" spans="1:13" ht="15" thickBot="1" x14ac:dyDescent="0.35">
      <c r="A11" s="64" t="s">
        <v>64</v>
      </c>
      <c r="B11" s="433" t="s">
        <v>26</v>
      </c>
      <c r="C11" s="434"/>
      <c r="D11" s="21" t="s">
        <v>32</v>
      </c>
    </row>
    <row r="12" spans="1:13" ht="369.75" customHeight="1" thickBot="1" x14ac:dyDescent="0.35">
      <c r="A12" s="64" t="s">
        <v>130</v>
      </c>
      <c r="B12" s="436" t="s">
        <v>131</v>
      </c>
      <c r="C12" s="437"/>
      <c r="D12" s="46" t="s">
        <v>32</v>
      </c>
    </row>
    <row r="13" spans="1:13" ht="201" customHeight="1" thickBot="1" x14ac:dyDescent="0.35">
      <c r="A13" s="63" t="s">
        <v>132</v>
      </c>
      <c r="B13" s="431" t="s">
        <v>133</v>
      </c>
      <c r="C13" s="431"/>
      <c r="D13" s="46" t="s">
        <v>32</v>
      </c>
    </row>
    <row r="14" spans="1:13" x14ac:dyDescent="0.3">
      <c r="A14" s="65" t="s">
        <v>37</v>
      </c>
      <c r="B14" s="438" t="s">
        <v>134</v>
      </c>
      <c r="C14" s="438"/>
      <c r="D14" s="66"/>
    </row>
    <row r="15" spans="1:13" ht="72" customHeight="1" x14ac:dyDescent="0.3">
      <c r="A15" s="64" t="s">
        <v>106</v>
      </c>
      <c r="B15" s="432" t="s">
        <v>135</v>
      </c>
      <c r="C15" s="432"/>
      <c r="D15" s="21" t="s">
        <v>58</v>
      </c>
    </row>
    <row r="16" spans="1:13" ht="72.75" customHeight="1" x14ac:dyDescent="0.3">
      <c r="A16" s="64" t="s">
        <v>107</v>
      </c>
      <c r="B16" s="432" t="s">
        <v>135</v>
      </c>
      <c r="C16" s="432"/>
      <c r="D16" s="21" t="s">
        <v>58</v>
      </c>
    </row>
    <row r="17" spans="1:4" ht="15.75" customHeight="1" thickBot="1" x14ac:dyDescent="0.35">
      <c r="A17" s="67" t="s">
        <v>4</v>
      </c>
      <c r="B17" s="439" t="s">
        <v>27</v>
      </c>
      <c r="C17" s="439"/>
      <c r="D17" s="22"/>
    </row>
    <row r="18" spans="1:4" ht="30.75" customHeight="1" thickBot="1" x14ac:dyDescent="0.35">
      <c r="A18" s="63" t="s">
        <v>38</v>
      </c>
      <c r="B18" s="440" t="s">
        <v>108</v>
      </c>
      <c r="C18" s="440"/>
      <c r="D18" s="46" t="s">
        <v>32</v>
      </c>
    </row>
    <row r="19" spans="1:4" ht="55.8" thickBot="1" x14ac:dyDescent="0.35">
      <c r="A19" s="63" t="s">
        <v>88</v>
      </c>
      <c r="B19" s="440" t="s">
        <v>109</v>
      </c>
      <c r="C19" s="440"/>
      <c r="D19" s="46" t="s">
        <v>32</v>
      </c>
    </row>
    <row r="20" spans="1:4" ht="15" thickBot="1" x14ac:dyDescent="0.35">
      <c r="A20" s="37"/>
      <c r="B20" s="68"/>
      <c r="C20" s="69"/>
      <c r="D20" s="70"/>
    </row>
    <row r="21" spans="1:4" ht="15" customHeight="1" x14ac:dyDescent="0.3">
      <c r="A21" s="19" t="s">
        <v>10</v>
      </c>
      <c r="B21" s="435"/>
      <c r="C21" s="435"/>
      <c r="D21" s="20"/>
    </row>
    <row r="22" spans="1:4" ht="101.25" customHeight="1" thickBot="1" x14ac:dyDescent="0.35">
      <c r="A22" s="71" t="s">
        <v>136</v>
      </c>
      <c r="B22" s="452" t="s">
        <v>137</v>
      </c>
      <c r="C22" s="452"/>
      <c r="D22" s="72">
        <v>24</v>
      </c>
    </row>
    <row r="23" spans="1:4" x14ac:dyDescent="0.3">
      <c r="A23" s="29"/>
      <c r="B23" s="70"/>
      <c r="C23" s="73"/>
      <c r="D23" s="70"/>
    </row>
    <row r="24" spans="1:4" s="11" customFormat="1" ht="71.25" customHeight="1" thickBot="1" x14ac:dyDescent="0.35">
      <c r="A24" s="455" t="s">
        <v>138</v>
      </c>
      <c r="B24" s="456"/>
      <c r="C24" s="456"/>
      <c r="D24" s="456"/>
    </row>
    <row r="25" spans="1:4" ht="41.4" x14ac:dyDescent="0.3">
      <c r="A25" s="74" t="s">
        <v>21</v>
      </c>
      <c r="B25" s="453" t="s">
        <v>24</v>
      </c>
      <c r="C25" s="453"/>
      <c r="D25" s="75" t="s">
        <v>31</v>
      </c>
    </row>
    <row r="26" spans="1:4" ht="25.5" customHeight="1" x14ac:dyDescent="0.3">
      <c r="A26" s="9" t="s">
        <v>16</v>
      </c>
      <c r="B26" s="457"/>
      <c r="C26" s="457"/>
      <c r="D26" s="76">
        <v>20</v>
      </c>
    </row>
    <row r="27" spans="1:4" ht="58.5" customHeight="1" x14ac:dyDescent="0.3">
      <c r="A27" s="9" t="s">
        <v>59</v>
      </c>
      <c r="B27" s="454" t="s">
        <v>30</v>
      </c>
      <c r="C27" s="454"/>
      <c r="D27" s="76">
        <v>19</v>
      </c>
    </row>
    <row r="28" spans="1:4" x14ac:dyDescent="0.3">
      <c r="A28" s="70"/>
      <c r="B28" s="70"/>
      <c r="C28" s="73"/>
      <c r="D28" s="70"/>
    </row>
    <row r="29" spans="1:4" s="11" customFormat="1" ht="43.5" customHeight="1" thickBot="1" x14ac:dyDescent="0.35">
      <c r="A29" s="455" t="s">
        <v>14</v>
      </c>
      <c r="B29" s="456"/>
      <c r="C29" s="456"/>
      <c r="D29" s="456"/>
    </row>
    <row r="30" spans="1:4" ht="41.4" x14ac:dyDescent="0.3">
      <c r="A30" s="77" t="s">
        <v>6</v>
      </c>
      <c r="B30" s="462" t="s">
        <v>24</v>
      </c>
      <c r="C30" s="462"/>
      <c r="D30" s="78" t="s">
        <v>31</v>
      </c>
    </row>
    <row r="31" spans="1:4" ht="15" thickBot="1" x14ac:dyDescent="0.35">
      <c r="A31" s="79" t="s">
        <v>22</v>
      </c>
      <c r="B31" s="463"/>
      <c r="C31" s="463"/>
      <c r="D31" s="80"/>
    </row>
    <row r="32" spans="1:4" ht="42" thickBot="1" x14ac:dyDescent="0.35">
      <c r="A32" s="81" t="s">
        <v>139</v>
      </c>
      <c r="B32" s="458" t="s">
        <v>140</v>
      </c>
      <c r="C32" s="458"/>
      <c r="D32" s="82" t="s">
        <v>33</v>
      </c>
    </row>
    <row r="33" spans="1:4" ht="28.2" thickBot="1" x14ac:dyDescent="0.35">
      <c r="A33" s="81" t="s">
        <v>141</v>
      </c>
      <c r="B33" s="458" t="s">
        <v>28</v>
      </c>
      <c r="C33" s="458"/>
      <c r="D33" s="82" t="s">
        <v>33</v>
      </c>
    </row>
    <row r="34" spans="1:4" x14ac:dyDescent="0.3">
      <c r="A34" s="83" t="s">
        <v>142</v>
      </c>
      <c r="B34" s="459" t="s">
        <v>143</v>
      </c>
      <c r="C34" s="459"/>
      <c r="D34" s="464" t="s">
        <v>33</v>
      </c>
    </row>
    <row r="35" spans="1:4" ht="27.6" x14ac:dyDescent="0.3">
      <c r="A35" s="84" t="s">
        <v>144</v>
      </c>
      <c r="B35" s="429" t="s">
        <v>145</v>
      </c>
      <c r="C35" s="429"/>
      <c r="D35" s="442"/>
    </row>
    <row r="36" spans="1:4" ht="27.6" x14ac:dyDescent="0.3">
      <c r="A36" s="85" t="s">
        <v>146</v>
      </c>
      <c r="B36" s="429" t="s">
        <v>147</v>
      </c>
      <c r="C36" s="429"/>
      <c r="D36" s="442"/>
    </row>
    <row r="37" spans="1:4" ht="41.4" x14ac:dyDescent="0.3">
      <c r="A37" s="85" t="s">
        <v>148</v>
      </c>
      <c r="B37" s="429" t="s">
        <v>149</v>
      </c>
      <c r="C37" s="429"/>
      <c r="D37" s="442"/>
    </row>
    <row r="38" spans="1:4" ht="55.2" x14ac:dyDescent="0.3">
      <c r="A38" s="85" t="s">
        <v>150</v>
      </c>
      <c r="B38" s="429" t="s">
        <v>151</v>
      </c>
      <c r="C38" s="429"/>
      <c r="D38" s="442"/>
    </row>
    <row r="39" spans="1:4" x14ac:dyDescent="0.3">
      <c r="A39" s="85" t="s">
        <v>152</v>
      </c>
      <c r="B39" s="429" t="s">
        <v>153</v>
      </c>
      <c r="C39" s="429"/>
      <c r="D39" s="442"/>
    </row>
    <row r="40" spans="1:4" ht="27.6" x14ac:dyDescent="0.3">
      <c r="A40" s="85" t="s">
        <v>154</v>
      </c>
      <c r="B40" s="429" t="s">
        <v>153</v>
      </c>
      <c r="C40" s="429"/>
      <c r="D40" s="442"/>
    </row>
    <row r="41" spans="1:4" ht="69" x14ac:dyDescent="0.3">
      <c r="A41" s="85" t="s">
        <v>155</v>
      </c>
      <c r="B41" s="429" t="s">
        <v>153</v>
      </c>
      <c r="C41" s="429"/>
      <c r="D41" s="442"/>
    </row>
    <row r="42" spans="1:4" ht="41.4" x14ac:dyDescent="0.3">
      <c r="A42" s="85" t="s">
        <v>156</v>
      </c>
      <c r="B42" s="429" t="s">
        <v>153</v>
      </c>
      <c r="C42" s="429"/>
      <c r="D42" s="442"/>
    </row>
    <row r="43" spans="1:4" ht="25.5" customHeight="1" x14ac:dyDescent="0.3">
      <c r="A43" s="85" t="s">
        <v>157</v>
      </c>
      <c r="B43" s="429" t="s">
        <v>158</v>
      </c>
      <c r="C43" s="429"/>
      <c r="D43" s="442"/>
    </row>
    <row r="44" spans="1:4" ht="41.4" x14ac:dyDescent="0.3">
      <c r="A44" s="85" t="s">
        <v>159</v>
      </c>
      <c r="B44" s="429" t="s">
        <v>153</v>
      </c>
      <c r="C44" s="429"/>
      <c r="D44" s="442"/>
    </row>
    <row r="45" spans="1:4" ht="28.2" thickBot="1" x14ac:dyDescent="0.35">
      <c r="A45" s="86" t="s">
        <v>160</v>
      </c>
      <c r="B45" s="461" t="s">
        <v>29</v>
      </c>
      <c r="C45" s="461"/>
      <c r="D45" s="443"/>
    </row>
    <row r="46" spans="1:4" ht="27.6" x14ac:dyDescent="0.3">
      <c r="A46" s="83" t="s">
        <v>161</v>
      </c>
      <c r="B46" s="459" t="s">
        <v>162</v>
      </c>
      <c r="C46" s="459"/>
      <c r="D46" s="464" t="s">
        <v>33</v>
      </c>
    </row>
    <row r="47" spans="1:4" ht="27.6" x14ac:dyDescent="0.3">
      <c r="A47" s="85" t="s">
        <v>163</v>
      </c>
      <c r="B47" s="460" t="s">
        <v>164</v>
      </c>
      <c r="C47" s="429"/>
      <c r="D47" s="442"/>
    </row>
    <row r="48" spans="1:4" ht="28.2" thickBot="1" x14ac:dyDescent="0.35">
      <c r="A48" s="86" t="s">
        <v>165</v>
      </c>
      <c r="B48" s="461"/>
      <c r="C48" s="461"/>
      <c r="D48" s="443"/>
    </row>
    <row r="49" spans="1:4" ht="159.75" customHeight="1" thickBot="1" x14ac:dyDescent="0.35">
      <c r="A49" s="81" t="s">
        <v>39</v>
      </c>
      <c r="B49" s="458" t="s">
        <v>40</v>
      </c>
      <c r="C49" s="458"/>
      <c r="D49" s="82" t="s">
        <v>33</v>
      </c>
    </row>
    <row r="50" spans="1:4" x14ac:dyDescent="0.3">
      <c r="A50" s="70"/>
      <c r="B50" s="70"/>
      <c r="C50" s="73"/>
      <c r="D50" s="70"/>
    </row>
    <row r="51" spans="1:4" s="11" customFormat="1" ht="43.5" customHeight="1" x14ac:dyDescent="0.3">
      <c r="A51" s="455" t="s">
        <v>166</v>
      </c>
      <c r="B51" s="455"/>
      <c r="C51" s="455"/>
      <c r="D51" s="455"/>
    </row>
    <row r="52" spans="1:4" s="11" customFormat="1" ht="32.25" customHeight="1" thickBot="1" x14ac:dyDescent="0.35">
      <c r="A52" s="465" t="s">
        <v>167</v>
      </c>
      <c r="B52" s="465"/>
      <c r="C52" s="465"/>
      <c r="D52" s="465"/>
    </row>
    <row r="53" spans="1:4" ht="48.75" customHeight="1" x14ac:dyDescent="0.3">
      <c r="A53" s="87" t="s">
        <v>9</v>
      </c>
      <c r="B53" s="468" t="s">
        <v>24</v>
      </c>
      <c r="C53" s="469"/>
      <c r="D53" s="88" t="s">
        <v>31</v>
      </c>
    </row>
    <row r="54" spans="1:4" ht="83.25" customHeight="1" x14ac:dyDescent="0.3">
      <c r="A54" s="6" t="s">
        <v>49</v>
      </c>
      <c r="B54" s="429" t="s">
        <v>110</v>
      </c>
      <c r="C54" s="429"/>
      <c r="D54" s="76" t="s">
        <v>53</v>
      </c>
    </row>
    <row r="55" spans="1:4" x14ac:dyDescent="0.3">
      <c r="A55" s="9" t="s">
        <v>17</v>
      </c>
      <c r="B55" s="429" t="s">
        <v>54</v>
      </c>
      <c r="C55" s="429"/>
      <c r="D55" s="89"/>
    </row>
    <row r="56" spans="1:4" ht="223.5" customHeight="1" x14ac:dyDescent="0.3">
      <c r="A56" s="9" t="s">
        <v>168</v>
      </c>
      <c r="B56" s="429" t="s">
        <v>169</v>
      </c>
      <c r="C56" s="429"/>
      <c r="D56" s="90">
        <v>17</v>
      </c>
    </row>
    <row r="57" spans="1:4" ht="15" thickBot="1" x14ac:dyDescent="0.35">
      <c r="A57" s="466" t="s">
        <v>112</v>
      </c>
      <c r="B57" s="466"/>
      <c r="C57" s="466"/>
      <c r="D57" s="466"/>
    </row>
    <row r="58" spans="1:4" ht="41.4" x14ac:dyDescent="0.3">
      <c r="A58" s="9" t="s">
        <v>76</v>
      </c>
      <c r="B58" s="467" t="s">
        <v>170</v>
      </c>
      <c r="C58" s="467"/>
      <c r="D58" s="91"/>
    </row>
    <row r="59" spans="1:4" ht="27.6" x14ac:dyDescent="0.3">
      <c r="A59" s="9" t="s">
        <v>44</v>
      </c>
      <c r="B59" s="467"/>
      <c r="C59" s="467"/>
      <c r="D59" s="91"/>
    </row>
    <row r="60" spans="1:4" ht="76.5" customHeight="1" x14ac:dyDescent="0.3">
      <c r="A60" s="9" t="s">
        <v>171</v>
      </c>
      <c r="B60" s="467" t="s">
        <v>172</v>
      </c>
      <c r="C60" s="467"/>
      <c r="D60" s="89"/>
    </row>
    <row r="61" spans="1:4" ht="42" thickBot="1" x14ac:dyDescent="0.35">
      <c r="A61" s="10" t="s">
        <v>25</v>
      </c>
      <c r="B61" s="470" t="s">
        <v>48</v>
      </c>
      <c r="C61" s="470"/>
      <c r="D61" s="92"/>
    </row>
    <row r="62" spans="1:4" ht="15" thickBot="1" x14ac:dyDescent="0.35">
      <c r="A62" s="466" t="s">
        <v>113</v>
      </c>
      <c r="B62" s="466"/>
      <c r="C62" s="466"/>
      <c r="D62" s="466"/>
    </row>
    <row r="63" spans="1:4" x14ac:dyDescent="0.3">
      <c r="A63" s="9" t="s">
        <v>114</v>
      </c>
      <c r="B63" s="429" t="s">
        <v>173</v>
      </c>
      <c r="C63" s="429"/>
      <c r="D63" s="91"/>
    </row>
    <row r="64" spans="1:4" x14ac:dyDescent="0.3">
      <c r="A64" s="9" t="s">
        <v>115</v>
      </c>
      <c r="B64" s="427" t="s">
        <v>174</v>
      </c>
      <c r="C64" s="428"/>
      <c r="D64" s="91"/>
    </row>
    <row r="65" spans="1:9" ht="23.25" customHeight="1" x14ac:dyDescent="0.3">
      <c r="A65" s="9" t="s">
        <v>116</v>
      </c>
      <c r="B65" s="429" t="s">
        <v>117</v>
      </c>
      <c r="C65" s="429"/>
      <c r="D65" s="89"/>
    </row>
    <row r="66" spans="1:9" ht="42" thickBot="1" x14ac:dyDescent="0.35">
      <c r="A66" s="10" t="s">
        <v>25</v>
      </c>
      <c r="B66" s="461" t="s">
        <v>48</v>
      </c>
      <c r="C66" s="461"/>
      <c r="D66" s="92"/>
    </row>
    <row r="67" spans="1:9" x14ac:dyDescent="0.3">
      <c r="A67" s="93"/>
      <c r="B67" s="94"/>
      <c r="C67" s="73"/>
      <c r="D67" s="70"/>
    </row>
    <row r="68" spans="1:9" s="11" customFormat="1" ht="43.5" customHeight="1" thickBot="1" x14ac:dyDescent="0.35">
      <c r="A68" s="455" t="s">
        <v>175</v>
      </c>
      <c r="B68" s="456"/>
      <c r="C68" s="456"/>
      <c r="D68" s="456"/>
    </row>
    <row r="69" spans="1:9" ht="36" x14ac:dyDescent="0.3">
      <c r="A69" s="18" t="s">
        <v>9</v>
      </c>
      <c r="B69" s="425" t="s">
        <v>24</v>
      </c>
      <c r="C69" s="426"/>
      <c r="D69" s="95" t="s">
        <v>31</v>
      </c>
    </row>
    <row r="70" spans="1:9" ht="41.4" x14ac:dyDescent="0.3">
      <c r="A70" s="9" t="s">
        <v>18</v>
      </c>
      <c r="B70" s="429"/>
      <c r="C70" s="429"/>
      <c r="D70" s="441" t="s">
        <v>56</v>
      </c>
      <c r="I70" s="11"/>
    </row>
    <row r="71" spans="1:9" x14ac:dyDescent="0.3">
      <c r="A71" s="9" t="s">
        <v>19</v>
      </c>
      <c r="B71" s="429" t="s">
        <v>55</v>
      </c>
      <c r="C71" s="429"/>
      <c r="D71" s="442"/>
    </row>
    <row r="72" spans="1:9" ht="27.6" x14ac:dyDescent="0.3">
      <c r="A72" s="9" t="s">
        <v>47</v>
      </c>
      <c r="B72" s="429" t="s">
        <v>51</v>
      </c>
      <c r="C72" s="429"/>
      <c r="D72" s="442"/>
    </row>
    <row r="73" spans="1:9" ht="27.6" x14ac:dyDescent="0.3">
      <c r="A73" s="9" t="s">
        <v>52</v>
      </c>
      <c r="B73" s="429" t="s">
        <v>111</v>
      </c>
      <c r="C73" s="429"/>
      <c r="D73" s="442"/>
    </row>
    <row r="74" spans="1:9" ht="28.2" thickBot="1" x14ac:dyDescent="0.35">
      <c r="A74" s="10" t="s">
        <v>20</v>
      </c>
      <c r="B74" s="461" t="s">
        <v>50</v>
      </c>
      <c r="C74" s="461"/>
      <c r="D74" s="443"/>
    </row>
    <row r="76" spans="1:9" x14ac:dyDescent="0.3">
      <c r="C76"/>
    </row>
    <row r="77" spans="1:9" x14ac:dyDescent="0.3">
      <c r="C77"/>
    </row>
  </sheetData>
  <mergeCells count="69">
    <mergeCell ref="B60:C60"/>
    <mergeCell ref="B61:C61"/>
    <mergeCell ref="A62:D62"/>
    <mergeCell ref="B66:C66"/>
    <mergeCell ref="A68:D68"/>
    <mergeCell ref="B63:C63"/>
    <mergeCell ref="D46:D48"/>
    <mergeCell ref="A51:D51"/>
    <mergeCell ref="A52:D52"/>
    <mergeCell ref="A57:D57"/>
    <mergeCell ref="B59:C59"/>
    <mergeCell ref="B48:C48"/>
    <mergeCell ref="B58:C58"/>
    <mergeCell ref="B53:C53"/>
    <mergeCell ref="B54:C54"/>
    <mergeCell ref="B55:C55"/>
    <mergeCell ref="B56:C56"/>
    <mergeCell ref="B49:C49"/>
    <mergeCell ref="B46:C46"/>
    <mergeCell ref="A29:D29"/>
    <mergeCell ref="B30:C30"/>
    <mergeCell ref="B31:C31"/>
    <mergeCell ref="D34:D45"/>
    <mergeCell ref="B36:C36"/>
    <mergeCell ref="B37:C37"/>
    <mergeCell ref="B39:C39"/>
    <mergeCell ref="B40:C40"/>
    <mergeCell ref="B41:C41"/>
    <mergeCell ref="B42:C42"/>
    <mergeCell ref="B43:C43"/>
    <mergeCell ref="B44:C44"/>
    <mergeCell ref="B45:C45"/>
    <mergeCell ref="B74:C74"/>
    <mergeCell ref="B72:C72"/>
    <mergeCell ref="B71:C71"/>
    <mergeCell ref="B73:C73"/>
    <mergeCell ref="B70:C70"/>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35"/>
  <sheetViews>
    <sheetView tabSelected="1" topLeftCell="A55" zoomScaleNormal="100" zoomScaleSheetLayoutView="70" workbookViewId="0">
      <selection activeCell="C15" sqref="C15"/>
    </sheetView>
  </sheetViews>
  <sheetFormatPr baseColWidth="10" defaultColWidth="11.44140625" defaultRowHeight="13.8" x14ac:dyDescent="0.3"/>
  <cols>
    <col min="1" max="1" width="56" style="4" customWidth="1"/>
    <col min="2" max="7" width="13" style="4" customWidth="1"/>
    <col min="8" max="8" width="1.44140625" style="215" customWidth="1"/>
    <col min="9" max="9" width="1.44140625" style="4" customWidth="1"/>
    <col min="10" max="12" width="18" style="5" customWidth="1"/>
    <col min="13" max="13" width="21" style="4" customWidth="1"/>
    <col min="14" max="14" width="1.44140625" style="4" customWidth="1"/>
    <col min="15" max="20" width="13.88671875" style="4" customWidth="1"/>
    <col min="21" max="16384" width="11.44140625" style="4"/>
  </cols>
  <sheetData>
    <row r="1" spans="1:14" ht="26.4" thickBot="1" x14ac:dyDescent="0.35">
      <c r="A1" s="413" t="s">
        <v>273</v>
      </c>
      <c r="B1" s="97" t="s">
        <v>125</v>
      </c>
      <c r="C1" s="96"/>
      <c r="D1" s="96"/>
      <c r="E1" s="96"/>
      <c r="F1" s="96"/>
      <c r="G1" s="96"/>
      <c r="H1" s="205"/>
      <c r="I1" s="96"/>
      <c r="J1" s="135"/>
      <c r="K1" s="135"/>
      <c r="L1" s="135"/>
      <c r="M1" s="96"/>
      <c r="N1" s="96"/>
    </row>
    <row r="2" spans="1:14" ht="18.75" customHeight="1" thickTop="1" thickBot="1" x14ac:dyDescent="0.35">
      <c r="A2" s="98" t="s">
        <v>83</v>
      </c>
      <c r="B2" s="96"/>
      <c r="C2" s="99"/>
      <c r="D2" s="99"/>
      <c r="E2" s="99"/>
      <c r="F2" s="99"/>
      <c r="G2" s="99"/>
      <c r="H2" s="206"/>
      <c r="I2" s="216"/>
      <c r="J2" s="217" t="s">
        <v>60</v>
      </c>
      <c r="K2" s="218"/>
      <c r="L2" s="218"/>
      <c r="M2" s="219"/>
      <c r="N2" s="220"/>
    </row>
    <row r="3" spans="1:14" ht="18.75" customHeight="1" thickTop="1" x14ac:dyDescent="0.3">
      <c r="A3" s="100" t="s">
        <v>82</v>
      </c>
      <c r="B3" s="96"/>
      <c r="C3" s="99"/>
      <c r="D3" s="99"/>
      <c r="E3" s="99"/>
      <c r="F3" s="99"/>
      <c r="G3" s="99"/>
      <c r="H3" s="206"/>
      <c r="I3" s="221"/>
      <c r="J3" s="135"/>
      <c r="K3" s="135"/>
      <c r="L3" s="135"/>
      <c r="M3" s="96"/>
      <c r="N3" s="222"/>
    </row>
    <row r="4" spans="1:14" ht="24.75" customHeight="1" x14ac:dyDescent="0.3">
      <c r="A4" s="53" t="s">
        <v>120</v>
      </c>
      <c r="B4" s="474" t="s">
        <v>279</v>
      </c>
      <c r="C4" s="474"/>
      <c r="D4" s="474"/>
      <c r="E4" s="474"/>
      <c r="F4" s="474"/>
      <c r="G4" s="474"/>
      <c r="H4" s="207"/>
      <c r="I4" s="221"/>
      <c r="J4" s="223" t="s">
        <v>216</v>
      </c>
      <c r="K4" s="224" t="s">
        <v>217</v>
      </c>
      <c r="L4" s="225" t="s">
        <v>218</v>
      </c>
      <c r="M4" s="226"/>
      <c r="N4" s="222"/>
    </row>
    <row r="5" spans="1:14" ht="15" customHeight="1" x14ac:dyDescent="0.3">
      <c r="A5" s="101" t="s">
        <v>176</v>
      </c>
      <c r="B5" s="475"/>
      <c r="C5" s="475"/>
      <c r="D5" s="475"/>
      <c r="E5" s="475"/>
      <c r="F5" s="475"/>
      <c r="G5" s="476"/>
      <c r="H5" s="208"/>
      <c r="I5" s="221"/>
      <c r="J5" s="135"/>
      <c r="K5" s="135"/>
      <c r="L5" s="135"/>
      <c r="M5" s="226"/>
      <c r="N5" s="222"/>
    </row>
    <row r="6" spans="1:14" ht="15" customHeight="1" thickBot="1" x14ac:dyDescent="0.35">
      <c r="A6" s="102" t="s">
        <v>121</v>
      </c>
      <c r="B6" s="477">
        <v>45536</v>
      </c>
      <c r="C6" s="478"/>
      <c r="D6" s="478"/>
      <c r="E6" s="478"/>
      <c r="F6" s="478"/>
      <c r="G6" s="479"/>
      <c r="H6" s="227"/>
      <c r="I6" s="221"/>
      <c r="J6" s="228"/>
      <c r="K6" s="152"/>
      <c r="L6" s="152"/>
      <c r="M6" s="152"/>
      <c r="N6" s="222"/>
    </row>
    <row r="7" spans="1:14" ht="15" customHeight="1" thickTop="1" thickBot="1" x14ac:dyDescent="0.35">
      <c r="A7" s="102" t="s">
        <v>122</v>
      </c>
      <c r="B7" s="477">
        <v>45473</v>
      </c>
      <c r="C7" s="478"/>
      <c r="D7" s="478"/>
      <c r="E7" s="478"/>
      <c r="F7" s="478"/>
      <c r="G7" s="479"/>
      <c r="H7" s="227"/>
      <c r="I7" s="221"/>
      <c r="J7" s="229" t="s">
        <v>219</v>
      </c>
      <c r="K7" s="230" t="e">
        <f>(DATEDIF(B6,B7,"M"))+1</f>
        <v>#NUM!</v>
      </c>
      <c r="L7" s="230" t="s">
        <v>95</v>
      </c>
      <c r="M7" s="231"/>
      <c r="N7" s="222"/>
    </row>
    <row r="8" spans="1:14" ht="18.75" customHeight="1" thickTop="1" x14ac:dyDescent="0.3">
      <c r="A8" s="498" t="s">
        <v>34</v>
      </c>
      <c r="B8" s="473" t="s">
        <v>280</v>
      </c>
      <c r="C8" s="473"/>
      <c r="D8" s="473"/>
      <c r="E8" s="473"/>
      <c r="F8" s="473"/>
      <c r="G8" s="473"/>
      <c r="H8" s="209"/>
      <c r="I8" s="221"/>
      <c r="J8" s="226"/>
      <c r="K8" s="226"/>
      <c r="L8" s="226"/>
      <c r="M8" s="226"/>
      <c r="N8" s="222"/>
    </row>
    <row r="9" spans="1:14" ht="18.75" customHeight="1" x14ac:dyDescent="0.3">
      <c r="A9" s="498"/>
      <c r="B9" s="473" t="s">
        <v>281</v>
      </c>
      <c r="C9" s="473"/>
      <c r="D9" s="473"/>
      <c r="E9" s="473"/>
      <c r="F9" s="473"/>
      <c r="G9" s="473"/>
      <c r="H9" s="209"/>
      <c r="I9" s="221"/>
      <c r="J9" s="135"/>
      <c r="K9" s="135"/>
      <c r="L9" s="135"/>
      <c r="M9" s="226"/>
      <c r="N9" s="222"/>
    </row>
    <row r="10" spans="1:14" x14ac:dyDescent="0.3">
      <c r="A10" s="96"/>
      <c r="B10" s="96"/>
      <c r="C10" s="96"/>
      <c r="D10" s="96"/>
      <c r="E10" s="96"/>
      <c r="F10" s="96"/>
      <c r="G10" s="96"/>
      <c r="H10" s="205"/>
      <c r="I10" s="221"/>
      <c r="J10" s="135"/>
      <c r="K10" s="135"/>
      <c r="L10" s="135"/>
      <c r="M10" s="226"/>
      <c r="N10" s="222"/>
    </row>
    <row r="11" spans="1:14" ht="57.6" x14ac:dyDescent="0.3">
      <c r="A11" s="50"/>
      <c r="B11" s="103" t="s">
        <v>118</v>
      </c>
      <c r="C11" s="103" t="s">
        <v>119</v>
      </c>
      <c r="D11" s="103" t="s">
        <v>177</v>
      </c>
      <c r="E11" s="103" t="s">
        <v>178</v>
      </c>
      <c r="F11" s="103" t="s">
        <v>179</v>
      </c>
      <c r="G11" s="103" t="s">
        <v>180</v>
      </c>
      <c r="H11" s="205"/>
      <c r="I11" s="221"/>
      <c r="J11" s="232"/>
      <c r="K11" s="226"/>
      <c r="L11" s="226"/>
      <c r="M11" s="226"/>
      <c r="N11" s="222"/>
    </row>
    <row r="12" spans="1:14" ht="15" thickBot="1" x14ac:dyDescent="0.35">
      <c r="A12" s="55" t="s">
        <v>123</v>
      </c>
      <c r="B12" s="104">
        <f>B34</f>
        <v>2500</v>
      </c>
      <c r="C12" s="104">
        <f>J34</f>
        <v>2500</v>
      </c>
      <c r="D12" s="104">
        <f>B54</f>
        <v>1570</v>
      </c>
      <c r="E12" s="105">
        <f>J37</f>
        <v>0.628</v>
      </c>
      <c r="F12" s="104">
        <f>M48</f>
        <v>1570</v>
      </c>
      <c r="G12" s="105">
        <f>M49</f>
        <v>0.628</v>
      </c>
      <c r="H12" s="205"/>
      <c r="I12" s="134"/>
      <c r="J12" s="135"/>
      <c r="K12" s="135"/>
      <c r="L12" s="135"/>
      <c r="M12" s="96"/>
      <c r="N12" s="222"/>
    </row>
    <row r="13" spans="1:14" ht="15" customHeight="1" thickBot="1" x14ac:dyDescent="0.35">
      <c r="A13" s="54"/>
      <c r="B13" s="96"/>
      <c r="C13" s="96"/>
      <c r="D13" s="96"/>
      <c r="E13" s="96"/>
      <c r="F13" s="96"/>
      <c r="G13" s="96"/>
      <c r="H13" s="205"/>
      <c r="I13" s="233"/>
      <c r="J13" s="232"/>
      <c r="K13" s="226"/>
      <c r="L13" s="226"/>
      <c r="M13" s="226"/>
      <c r="N13" s="222"/>
    </row>
    <row r="14" spans="1:14" ht="18.600000000000001" thickTop="1" x14ac:dyDescent="0.3">
      <c r="A14" s="13" t="s">
        <v>11</v>
      </c>
      <c r="B14" s="96"/>
      <c r="C14" s="96"/>
      <c r="D14" s="96"/>
      <c r="E14" s="96"/>
      <c r="F14" s="96"/>
      <c r="G14" s="96"/>
      <c r="H14" s="205"/>
      <c r="I14" s="234"/>
      <c r="J14" s="235" t="s">
        <v>220</v>
      </c>
      <c r="K14" s="236"/>
      <c r="L14" s="236"/>
      <c r="M14" s="237"/>
      <c r="N14" s="222"/>
    </row>
    <row r="15" spans="1:14" ht="14.4" thickBot="1" x14ac:dyDescent="0.35">
      <c r="A15" s="96"/>
      <c r="B15" s="96"/>
      <c r="C15" s="96"/>
      <c r="D15" s="96"/>
      <c r="E15" s="96"/>
      <c r="F15" s="96"/>
      <c r="G15" s="96"/>
      <c r="H15" s="205"/>
      <c r="I15" s="238"/>
      <c r="J15" s="239"/>
      <c r="K15" s="226"/>
      <c r="L15" s="226"/>
      <c r="M15" s="240"/>
      <c r="N15" s="222"/>
    </row>
    <row r="16" spans="1:14" ht="15" customHeight="1" x14ac:dyDescent="0.3">
      <c r="A16" s="30" t="s">
        <v>79</v>
      </c>
      <c r="B16" s="31" t="s">
        <v>96</v>
      </c>
      <c r="C16" s="484" t="s">
        <v>41</v>
      </c>
      <c r="D16" s="485"/>
      <c r="E16" s="485"/>
      <c r="F16" s="485"/>
      <c r="G16" s="486"/>
      <c r="H16" s="17"/>
      <c r="I16" s="238"/>
      <c r="J16" s="241" t="s">
        <v>221</v>
      </c>
      <c r="K16" s="226"/>
      <c r="L16" s="226"/>
      <c r="M16" s="240"/>
      <c r="N16" s="222"/>
    </row>
    <row r="17" spans="1:16" ht="14.4" x14ac:dyDescent="0.3">
      <c r="A17" s="33" t="s">
        <v>80</v>
      </c>
      <c r="B17" s="34"/>
      <c r="C17" s="40"/>
      <c r="D17" s="40"/>
      <c r="E17" s="40"/>
      <c r="F17" s="40"/>
      <c r="G17" s="106"/>
      <c r="H17" s="210"/>
      <c r="I17" s="238"/>
      <c r="J17" s="242" t="s">
        <v>222</v>
      </c>
      <c r="K17" s="243" t="s">
        <v>223</v>
      </c>
      <c r="L17" s="121"/>
      <c r="M17" s="244"/>
      <c r="N17" s="222"/>
    </row>
    <row r="18" spans="1:16" ht="30" customHeight="1" x14ac:dyDescent="0.3">
      <c r="A18" s="107" t="s">
        <v>181</v>
      </c>
      <c r="B18" s="108">
        <v>2000</v>
      </c>
      <c r="C18" s="482" t="s">
        <v>271</v>
      </c>
      <c r="D18" s="482"/>
      <c r="E18" s="482"/>
      <c r="F18" s="482"/>
      <c r="G18" s="483"/>
      <c r="H18" s="35"/>
      <c r="I18" s="234"/>
      <c r="J18" s="245">
        <f>B18</f>
        <v>2000</v>
      </c>
      <c r="K18" s="246">
        <f>J18/$B$29</f>
        <v>0.8</v>
      </c>
      <c r="L18" s="495" t="s">
        <v>89</v>
      </c>
      <c r="M18" s="496"/>
      <c r="N18" s="222"/>
    </row>
    <row r="19" spans="1:16" ht="14.4" x14ac:dyDescent="0.3">
      <c r="A19" s="107" t="s">
        <v>35</v>
      </c>
      <c r="B19" s="108">
        <v>500</v>
      </c>
      <c r="C19" s="482"/>
      <c r="D19" s="482"/>
      <c r="E19" s="482"/>
      <c r="F19" s="482"/>
      <c r="G19" s="483"/>
      <c r="H19" s="35"/>
      <c r="I19" s="238"/>
      <c r="J19" s="247">
        <f>IF(B19="",0,MIN(B19,(B29+J42)*$M71))</f>
        <v>500</v>
      </c>
      <c r="K19" s="246">
        <f>J19/(B29+J42)</f>
        <v>0.2</v>
      </c>
      <c r="L19" s="495" t="s">
        <v>89</v>
      </c>
      <c r="M19" s="496"/>
      <c r="N19" s="222"/>
    </row>
    <row r="20" spans="1:16" ht="14.4" x14ac:dyDescent="0.3">
      <c r="A20" s="107" t="s">
        <v>64</v>
      </c>
      <c r="B20" s="108"/>
      <c r="C20" s="482"/>
      <c r="D20" s="482"/>
      <c r="E20" s="482"/>
      <c r="F20" s="482"/>
      <c r="G20" s="483"/>
      <c r="H20" s="35"/>
      <c r="I20" s="238"/>
      <c r="J20" s="245">
        <f>B20</f>
        <v>0</v>
      </c>
      <c r="K20" s="246">
        <f>J20/B29</f>
        <v>0</v>
      </c>
      <c r="L20" s="495" t="s">
        <v>89</v>
      </c>
      <c r="M20" s="496"/>
      <c r="N20" s="222"/>
    </row>
    <row r="21" spans="1:16" ht="14.4" x14ac:dyDescent="0.3">
      <c r="A21" s="107" t="s">
        <v>182</v>
      </c>
      <c r="B21" s="108"/>
      <c r="C21" s="482"/>
      <c r="D21" s="482"/>
      <c r="E21" s="482"/>
      <c r="F21" s="482"/>
      <c r="G21" s="483"/>
      <c r="H21" s="35"/>
      <c r="I21" s="238"/>
      <c r="J21" s="245">
        <f>B21</f>
        <v>0</v>
      </c>
      <c r="K21" s="246">
        <f>J21/$B$29</f>
        <v>0</v>
      </c>
      <c r="L21" s="495" t="s">
        <v>89</v>
      </c>
      <c r="M21" s="496"/>
      <c r="N21" s="222"/>
    </row>
    <row r="22" spans="1:16" ht="14.4" x14ac:dyDescent="0.3">
      <c r="A22" s="107" t="s">
        <v>183</v>
      </c>
      <c r="B22" s="109">
        <f>B23+B24+B25</f>
        <v>0</v>
      </c>
      <c r="C22" s="494"/>
      <c r="D22" s="494"/>
      <c r="E22" s="494"/>
      <c r="F22" s="494"/>
      <c r="G22" s="503"/>
      <c r="H22" s="35"/>
      <c r="I22" s="238"/>
      <c r="J22" s="247">
        <f>J23+J24+J25</f>
        <v>0</v>
      </c>
      <c r="K22" s="246">
        <f>J22/$B$29</f>
        <v>0</v>
      </c>
      <c r="L22" s="495" t="s">
        <v>89</v>
      </c>
      <c r="M22" s="496"/>
      <c r="N22" s="222"/>
    </row>
    <row r="23" spans="1:16" ht="25.5" customHeight="1" x14ac:dyDescent="0.3">
      <c r="A23" s="110" t="s">
        <v>184</v>
      </c>
      <c r="B23" s="111">
        <f>E96</f>
        <v>0</v>
      </c>
      <c r="C23" s="480" t="s">
        <v>36</v>
      </c>
      <c r="D23" s="480"/>
      <c r="E23" s="480"/>
      <c r="F23" s="480"/>
      <c r="G23" s="481"/>
      <c r="H23" s="248"/>
      <c r="I23" s="43"/>
      <c r="J23" s="249">
        <f>F96</f>
        <v>0</v>
      </c>
      <c r="K23" s="246">
        <f t="shared" ref="K23:K27" si="0">J23/$B$29</f>
        <v>0</v>
      </c>
      <c r="L23" s="495" t="s">
        <v>89</v>
      </c>
      <c r="M23" s="496"/>
      <c r="N23" s="222"/>
    </row>
    <row r="24" spans="1:16" ht="45" customHeight="1" x14ac:dyDescent="0.3">
      <c r="A24" s="110" t="s">
        <v>185</v>
      </c>
      <c r="B24" s="111">
        <f>E113</f>
        <v>0</v>
      </c>
      <c r="C24" s="480" t="s">
        <v>36</v>
      </c>
      <c r="D24" s="480"/>
      <c r="E24" s="480"/>
      <c r="F24" s="480"/>
      <c r="G24" s="481"/>
      <c r="H24" s="248"/>
      <c r="I24" s="238"/>
      <c r="J24" s="249">
        <f>F113</f>
        <v>0</v>
      </c>
      <c r="K24" s="246">
        <f t="shared" si="0"/>
        <v>0</v>
      </c>
      <c r="L24" s="495" t="s">
        <v>89</v>
      </c>
      <c r="M24" s="496"/>
      <c r="N24" s="222"/>
    </row>
    <row r="25" spans="1:16" ht="26.25" customHeight="1" x14ac:dyDescent="0.3">
      <c r="A25" s="110" t="s">
        <v>186</v>
      </c>
      <c r="B25" s="112"/>
      <c r="C25" s="482"/>
      <c r="D25" s="482"/>
      <c r="E25" s="482"/>
      <c r="F25" s="482"/>
      <c r="G25" s="483"/>
      <c r="H25" s="248"/>
      <c r="I25" s="43"/>
      <c r="J25" s="245">
        <f>B25</f>
        <v>0</v>
      </c>
      <c r="K25" s="246">
        <f t="shared" si="0"/>
        <v>0</v>
      </c>
      <c r="L25" s="495" t="s">
        <v>89</v>
      </c>
      <c r="M25" s="496"/>
      <c r="N25" s="222"/>
    </row>
    <row r="26" spans="1:16" ht="14.4" x14ac:dyDescent="0.3">
      <c r="A26" s="107" t="s">
        <v>90</v>
      </c>
      <c r="B26" s="108"/>
      <c r="C26" s="482"/>
      <c r="D26" s="482"/>
      <c r="E26" s="482"/>
      <c r="F26" s="482"/>
      <c r="G26" s="483"/>
      <c r="H26" s="36"/>
      <c r="I26" s="250"/>
      <c r="J26" s="245">
        <f>B26</f>
        <v>0</v>
      </c>
      <c r="K26" s="246">
        <f t="shared" si="0"/>
        <v>0</v>
      </c>
      <c r="L26" s="495" t="s">
        <v>89</v>
      </c>
      <c r="M26" s="496"/>
      <c r="N26" s="222"/>
    </row>
    <row r="27" spans="1:16" ht="20.25" customHeight="1" x14ac:dyDescent="0.3">
      <c r="A27" s="107" t="s">
        <v>66</v>
      </c>
      <c r="B27" s="108"/>
      <c r="C27" s="482"/>
      <c r="D27" s="482"/>
      <c r="E27" s="482"/>
      <c r="F27" s="482"/>
      <c r="G27" s="483"/>
      <c r="H27" s="37"/>
      <c r="I27" s="251"/>
      <c r="J27" s="245">
        <f>IF($M76="oui",B27,"0")</f>
        <v>0</v>
      </c>
      <c r="K27" s="246">
        <f t="shared" si="0"/>
        <v>0</v>
      </c>
      <c r="L27" s="495" t="s">
        <v>89</v>
      </c>
      <c r="M27" s="496"/>
      <c r="N27" s="222"/>
      <c r="P27" s="45"/>
    </row>
    <row r="28" spans="1:16" ht="30" customHeight="1" x14ac:dyDescent="0.3">
      <c r="A28" s="107" t="s">
        <v>272</v>
      </c>
      <c r="B28" s="109">
        <f>E125</f>
        <v>0</v>
      </c>
      <c r="C28" s="480" t="s">
        <v>36</v>
      </c>
      <c r="D28" s="480"/>
      <c r="E28" s="480"/>
      <c r="F28" s="480"/>
      <c r="G28" s="481"/>
      <c r="H28" s="36"/>
      <c r="I28" s="250"/>
      <c r="J28" s="245">
        <f>B28</f>
        <v>0</v>
      </c>
      <c r="K28" s="246">
        <f>J28/B29</f>
        <v>0</v>
      </c>
      <c r="L28" s="495" t="s">
        <v>89</v>
      </c>
      <c r="M28" s="496"/>
      <c r="N28" s="222"/>
      <c r="P28" s="45"/>
    </row>
    <row r="29" spans="1:16" ht="15" thickBot="1" x14ac:dyDescent="0.35">
      <c r="A29" s="113" t="s">
        <v>81</v>
      </c>
      <c r="B29" s="114">
        <f>B18+B19+B20+B21+B22+B26+B27+B28</f>
        <v>2500</v>
      </c>
      <c r="C29" s="489"/>
      <c r="D29" s="489"/>
      <c r="E29" s="489"/>
      <c r="F29" s="489"/>
      <c r="G29" s="490"/>
      <c r="H29" s="37"/>
      <c r="I29" s="250"/>
      <c r="J29" s="252">
        <f>J18+J19+J20+J21+J22+J27+J28+J26</f>
        <v>2500</v>
      </c>
      <c r="K29" s="253"/>
      <c r="L29" s="495" t="s">
        <v>89</v>
      </c>
      <c r="M29" s="496"/>
      <c r="N29" s="222"/>
    </row>
    <row r="30" spans="1:16" ht="14.4" x14ac:dyDescent="0.3">
      <c r="A30" s="7"/>
      <c r="B30" s="8"/>
      <c r="C30" s="7"/>
      <c r="D30" s="7"/>
      <c r="E30" s="7"/>
      <c r="F30" s="7"/>
      <c r="G30" s="7"/>
      <c r="H30" s="7"/>
      <c r="I30" s="43"/>
      <c r="J30" s="254" t="s">
        <v>224</v>
      </c>
      <c r="K30" s="121"/>
      <c r="L30" s="121"/>
      <c r="M30" s="244"/>
      <c r="N30" s="222"/>
    </row>
    <row r="31" spans="1:16" ht="14.4" x14ac:dyDescent="0.3">
      <c r="A31" s="26" t="s">
        <v>10</v>
      </c>
      <c r="B31" s="27"/>
      <c r="C31" s="28"/>
      <c r="D31" s="49"/>
      <c r="E31" s="49"/>
      <c r="F31" s="49"/>
      <c r="G31" s="49"/>
      <c r="H31" s="38"/>
      <c r="I31" s="43"/>
      <c r="J31" s="242" t="s">
        <v>222</v>
      </c>
      <c r="K31" s="243" t="str">
        <f>IF(OR(B9="Etablissement public national (hors EPIC) ",B9="EPIC ",B9="Etablissement réseau chambres d'agriculture "),"% dépenses directes totales",IF(L65="Association, fondation et assimilé ","% dépenses directes éligibles + bénévolat valorisé","%dépenses directes éligibles"))</f>
        <v>% dépenses directes éligibles + bénévolat valorisé</v>
      </c>
      <c r="L31" s="121"/>
      <c r="M31" s="244"/>
      <c r="N31" s="222"/>
    </row>
    <row r="32" spans="1:16" ht="17.25" customHeight="1" thickBot="1" x14ac:dyDescent="0.35">
      <c r="A32" s="115" t="s">
        <v>7</v>
      </c>
      <c r="B32" s="116"/>
      <c r="C32" s="41"/>
      <c r="D32" s="42"/>
      <c r="E32" s="42"/>
      <c r="F32" s="42"/>
      <c r="G32" s="42"/>
      <c r="H32" s="42"/>
      <c r="I32" s="255"/>
      <c r="J32" s="252">
        <f>IF(B32="",0,MIN(B32, IF(OR(B9="Etablissement public national (hors EPIC) ",B9="EPIC ",B9="Etablissement réseau chambres d'agriculture "),15%*B29,15%*(J29+J42))))</f>
        <v>0</v>
      </c>
      <c r="K32" s="246">
        <f>IF(OR(B9="Etablissement public national (hors EPIC) ",B9="EPIC ",B9="Etablissement réseau chambres d'agriculture "),J32/B29,J32/(J29+J42))</f>
        <v>0</v>
      </c>
      <c r="L32" s="495" t="s">
        <v>89</v>
      </c>
      <c r="M32" s="496"/>
      <c r="N32" s="222"/>
    </row>
    <row r="33" spans="1:14" ht="25.5" customHeight="1" x14ac:dyDescent="0.3">
      <c r="A33" s="117"/>
      <c r="B33" s="118"/>
      <c r="C33" s="7"/>
      <c r="D33" s="7"/>
      <c r="E33" s="7"/>
      <c r="F33" s="7"/>
      <c r="G33" s="7"/>
      <c r="H33" s="7"/>
      <c r="I33" s="256"/>
      <c r="J33" s="257" t="s">
        <v>225</v>
      </c>
      <c r="K33" s="121"/>
      <c r="L33" s="121"/>
      <c r="M33" s="244"/>
      <c r="N33" s="222"/>
    </row>
    <row r="34" spans="1:14" ht="25.5" customHeight="1" thickBot="1" x14ac:dyDescent="0.35">
      <c r="A34" s="119" t="s">
        <v>8</v>
      </c>
      <c r="B34" s="104">
        <f>B32+B29</f>
        <v>2500</v>
      </c>
      <c r="C34" s="43"/>
      <c r="D34" s="37"/>
      <c r="E34" s="37"/>
      <c r="F34" s="37"/>
      <c r="G34" s="37"/>
      <c r="H34" s="37"/>
      <c r="I34" s="258"/>
      <c r="J34" s="259">
        <f>J32+J29</f>
        <v>2500</v>
      </c>
      <c r="K34" s="487" t="s">
        <v>89</v>
      </c>
      <c r="L34" s="487"/>
      <c r="M34" s="488"/>
      <c r="N34" s="222"/>
    </row>
    <row r="35" spans="1:14" ht="12.75" customHeight="1" thickBot="1" x14ac:dyDescent="0.35">
      <c r="A35" s="120"/>
      <c r="B35" s="121"/>
      <c r="C35" s="32"/>
      <c r="D35" s="37"/>
      <c r="E35" s="37"/>
      <c r="F35" s="37"/>
      <c r="G35" s="37"/>
      <c r="H35" s="37"/>
      <c r="I35" s="260"/>
      <c r="J35" s="150"/>
      <c r="K35" s="150"/>
      <c r="L35" s="150"/>
      <c r="M35" s="121"/>
      <c r="N35" s="222"/>
    </row>
    <row r="36" spans="1:14" ht="15.6" thickTop="1" thickBot="1" x14ac:dyDescent="0.35">
      <c r="A36" s="122" t="s">
        <v>187</v>
      </c>
      <c r="B36" s="123">
        <f>ROUND(B69-B34,0)</f>
        <v>0</v>
      </c>
      <c r="C36" s="471" t="str">
        <f>IF(B36&gt;0,"Le plan de financement est excédentaire.",IF(B36&lt;0,"Le plan de financement est en déficit.","Le plan de financement est à l'équilibre"))</f>
        <v>Le plan de financement est à l'équilibre</v>
      </c>
      <c r="D36" s="472"/>
      <c r="E36" s="472"/>
      <c r="F36" s="472"/>
      <c r="G36" s="472"/>
      <c r="H36" s="126"/>
      <c r="I36" s="44"/>
      <c r="J36" s="261" t="s">
        <v>226</v>
      </c>
      <c r="K36" s="262"/>
      <c r="L36" s="262"/>
      <c r="M36" s="263"/>
      <c r="N36" s="222"/>
    </row>
    <row r="37" spans="1:14" ht="12.75" customHeight="1" thickBot="1" x14ac:dyDescent="0.35">
      <c r="A37" s="32"/>
      <c r="B37" s="124"/>
      <c r="C37" s="125"/>
      <c r="D37" s="126"/>
      <c r="E37" s="126"/>
      <c r="F37" s="126"/>
      <c r="G37" s="126"/>
      <c r="H37" s="126"/>
      <c r="I37" s="260"/>
      <c r="J37" s="264">
        <f>B54/J34</f>
        <v>0.628</v>
      </c>
      <c r="K37" s="265" t="s">
        <v>89</v>
      </c>
      <c r="L37" s="265"/>
      <c r="M37" s="266"/>
      <c r="N37" s="222"/>
    </row>
    <row r="38" spans="1:14" ht="19.5" customHeight="1" thickTop="1" thickBot="1" x14ac:dyDescent="0.35">
      <c r="A38" s="13" t="s">
        <v>63</v>
      </c>
      <c r="B38" s="13"/>
      <c r="C38" s="13"/>
      <c r="D38" s="127"/>
      <c r="E38" s="127"/>
      <c r="F38" s="127"/>
      <c r="G38" s="127"/>
      <c r="H38" s="127"/>
      <c r="I38" s="260"/>
      <c r="J38" s="150"/>
      <c r="K38" s="150"/>
      <c r="L38" s="150"/>
      <c r="M38" s="121"/>
      <c r="N38" s="222"/>
    </row>
    <row r="39" spans="1:14" ht="36" customHeight="1" thickTop="1" thickBot="1" x14ac:dyDescent="0.35">
      <c r="A39" s="128"/>
      <c r="B39" s="96"/>
      <c r="C39" s="129"/>
      <c r="D39" s="129"/>
      <c r="E39" s="129"/>
      <c r="F39" s="129"/>
      <c r="G39" s="129"/>
      <c r="H39" s="135"/>
      <c r="I39" s="44"/>
      <c r="J39" s="267" t="s">
        <v>227</v>
      </c>
      <c r="K39" s="262"/>
      <c r="L39" s="262"/>
      <c r="M39" s="263"/>
      <c r="N39" s="222"/>
    </row>
    <row r="40" spans="1:14" ht="12.75" customHeight="1" x14ac:dyDescent="0.3">
      <c r="A40" s="30" t="s">
        <v>85</v>
      </c>
      <c r="B40" s="31"/>
      <c r="C40" s="499" t="s">
        <v>3</v>
      </c>
      <c r="D40" s="500"/>
      <c r="E40" s="500"/>
      <c r="F40" s="500"/>
      <c r="G40" s="501"/>
      <c r="H40" s="29"/>
      <c r="I40" s="260"/>
      <c r="J40" s="268"/>
      <c r="K40" s="121"/>
      <c r="L40" s="121"/>
      <c r="M40" s="244"/>
      <c r="N40" s="222"/>
    </row>
    <row r="41" spans="1:14" ht="14.4" x14ac:dyDescent="0.3">
      <c r="A41" s="130" t="s">
        <v>16</v>
      </c>
      <c r="B41" s="131"/>
      <c r="C41" s="482" t="s">
        <v>274</v>
      </c>
      <c r="D41" s="482"/>
      <c r="E41" s="482"/>
      <c r="F41" s="482"/>
      <c r="G41" s="482"/>
      <c r="H41" s="36"/>
      <c r="I41" s="260"/>
      <c r="J41" s="269">
        <v>0</v>
      </c>
      <c r="K41" s="514" t="s">
        <v>89</v>
      </c>
      <c r="L41" s="515"/>
      <c r="M41" s="516"/>
      <c r="N41" s="222"/>
    </row>
    <row r="42" spans="1:14" ht="14.4" x14ac:dyDescent="0.3">
      <c r="A42" s="419" t="s">
        <v>275</v>
      </c>
      <c r="B42" s="420">
        <v>2150</v>
      </c>
      <c r="C42" s="414"/>
      <c r="D42" s="414"/>
      <c r="E42" s="414"/>
      <c r="F42" s="414"/>
      <c r="G42" s="414"/>
      <c r="H42" s="36"/>
      <c r="I42" s="260"/>
      <c r="J42" s="269">
        <f>IF($M81="oui",B43,0)</f>
        <v>0</v>
      </c>
      <c r="K42" s="514" t="s">
        <v>89</v>
      </c>
      <c r="L42" s="515"/>
      <c r="M42" s="516"/>
      <c r="N42" s="222"/>
    </row>
    <row r="43" spans="1:14" ht="15" thickBot="1" x14ac:dyDescent="0.35">
      <c r="A43" s="130" t="s">
        <v>188</v>
      </c>
      <c r="B43" s="132"/>
      <c r="C43" s="482"/>
      <c r="D43" s="482"/>
      <c r="E43" s="482"/>
      <c r="F43" s="482"/>
      <c r="G43" s="482"/>
      <c r="H43" s="29"/>
      <c r="I43" s="260"/>
      <c r="J43" s="259">
        <f>SUM(J41:J42)</f>
        <v>0</v>
      </c>
      <c r="K43" s="270"/>
      <c r="L43" s="270"/>
      <c r="M43" s="271"/>
      <c r="N43" s="222"/>
    </row>
    <row r="44" spans="1:14" ht="15.6" thickTop="1" thickBot="1" x14ac:dyDescent="0.35">
      <c r="A44" s="133" t="s">
        <v>86</v>
      </c>
      <c r="B44" s="104">
        <f>SUM(B41:B43)</f>
        <v>2150</v>
      </c>
      <c r="C44" s="134"/>
      <c r="D44" s="17"/>
      <c r="E44" s="17"/>
      <c r="F44" s="17"/>
      <c r="G44" s="17"/>
      <c r="H44" s="135"/>
      <c r="I44" s="272"/>
      <c r="J44" s="273"/>
      <c r="K44" s="273"/>
      <c r="L44" s="273"/>
      <c r="M44" s="274"/>
      <c r="N44" s="275"/>
    </row>
    <row r="45" spans="1:14" x14ac:dyDescent="0.3">
      <c r="A45" s="96" t="s">
        <v>189</v>
      </c>
      <c r="B45" s="96"/>
      <c r="C45" s="135"/>
      <c r="D45" s="135"/>
      <c r="E45" s="135"/>
      <c r="F45" s="135"/>
      <c r="G45" s="135"/>
      <c r="H45" s="135"/>
      <c r="I45" s="135"/>
      <c r="J45" s="135"/>
      <c r="K45" s="135"/>
      <c r="L45" s="135"/>
      <c r="M45" s="96"/>
      <c r="N45" s="96"/>
    </row>
    <row r="46" spans="1:14" ht="18" x14ac:dyDescent="0.3">
      <c r="A46" s="136" t="str">
        <f>IF(M79="non","",IF(B43="","","Vous devez justifier de votre méthode de valorisation du bénévolat auprès de l'OFB. A défaut, la valorisation du bénévolat ne sera pas prise en compte."))</f>
        <v/>
      </c>
      <c r="B46" s="136"/>
      <c r="C46" s="136"/>
      <c r="D46" s="136"/>
      <c r="E46" s="136"/>
      <c r="F46" s="136"/>
      <c r="G46" s="136"/>
      <c r="H46" s="135"/>
      <c r="I46" s="276"/>
      <c r="J46" s="517" t="s">
        <v>228</v>
      </c>
      <c r="K46" s="517"/>
      <c r="L46" s="517"/>
      <c r="M46" s="517"/>
      <c r="N46" s="220"/>
    </row>
    <row r="47" spans="1:14" ht="18.600000000000001" thickBot="1" x14ac:dyDescent="0.35">
      <c r="A47" s="13" t="s">
        <v>14</v>
      </c>
      <c r="B47" s="96"/>
      <c r="C47" s="135"/>
      <c r="D47" s="135"/>
      <c r="E47" s="135"/>
      <c r="F47" s="135"/>
      <c r="G47" s="135"/>
      <c r="H47" s="135"/>
      <c r="I47" s="260"/>
      <c r="J47" s="135"/>
      <c r="K47" s="135"/>
      <c r="L47" s="124"/>
      <c r="M47" s="277"/>
      <c r="N47" s="222"/>
    </row>
    <row r="48" spans="1:14" ht="12.75" customHeight="1" thickTop="1" thickBot="1" x14ac:dyDescent="0.35">
      <c r="A48" s="137"/>
      <c r="B48" s="137"/>
      <c r="C48" s="129"/>
      <c r="D48" s="129"/>
      <c r="E48" s="129"/>
      <c r="F48" s="129"/>
      <c r="G48" s="129"/>
      <c r="H48" s="29"/>
      <c r="I48" s="260"/>
      <c r="J48" s="278" t="s">
        <v>276</v>
      </c>
      <c r="K48" s="279"/>
      <c r="L48" s="279"/>
      <c r="M48" s="280">
        <f>B54</f>
        <v>1570</v>
      </c>
      <c r="N48" s="222"/>
    </row>
    <row r="49" spans="1:15" ht="29.4" thickBot="1" x14ac:dyDescent="0.35">
      <c r="A49" s="138" t="s">
        <v>78</v>
      </c>
      <c r="B49" s="139" t="s">
        <v>12</v>
      </c>
      <c r="C49" s="499" t="s">
        <v>15</v>
      </c>
      <c r="D49" s="500"/>
      <c r="E49" s="500"/>
      <c r="F49" s="500"/>
      <c r="G49" s="501"/>
      <c r="H49" s="281"/>
      <c r="I49" s="282"/>
      <c r="J49" s="283" t="s">
        <v>229</v>
      </c>
      <c r="K49" s="284"/>
      <c r="L49" s="284"/>
      <c r="M49" s="285">
        <f>M48/J34</f>
        <v>0.628</v>
      </c>
      <c r="N49" s="286"/>
    </row>
    <row r="50" spans="1:15" ht="15" thickTop="1" x14ac:dyDescent="0.3">
      <c r="A50" s="140" t="s">
        <v>190</v>
      </c>
      <c r="B50" s="141" t="s">
        <v>96</v>
      </c>
      <c r="C50" s="502"/>
      <c r="D50" s="502"/>
      <c r="E50" s="502"/>
      <c r="F50" s="502"/>
      <c r="G50" s="502"/>
      <c r="H50" s="36"/>
      <c r="I50" s="287"/>
      <c r="J50" s="421" t="s">
        <v>277</v>
      </c>
      <c r="K50" s="422"/>
      <c r="L50" s="422"/>
      <c r="M50" s="423">
        <f>B42</f>
        <v>2150</v>
      </c>
      <c r="N50" s="222"/>
    </row>
    <row r="51" spans="1:15" ht="27.6" customHeight="1" thickBot="1" x14ac:dyDescent="0.35">
      <c r="A51" s="142" t="s">
        <v>0</v>
      </c>
      <c r="B51" s="143"/>
      <c r="C51" s="482"/>
      <c r="D51" s="482"/>
      <c r="E51" s="482"/>
      <c r="F51" s="482"/>
      <c r="G51" s="482"/>
      <c r="H51" s="36"/>
      <c r="I51" s="260"/>
      <c r="J51" s="521" t="s">
        <v>278</v>
      </c>
      <c r="K51" s="522"/>
      <c r="L51" s="523"/>
      <c r="M51" s="424">
        <f>(M48+M50)/(J34+B44)</f>
        <v>0.8</v>
      </c>
      <c r="N51" s="222"/>
    </row>
    <row r="52" spans="1:15" ht="15" customHeight="1" thickTop="1" x14ac:dyDescent="0.3">
      <c r="A52" s="142" t="s">
        <v>1</v>
      </c>
      <c r="B52" s="143"/>
      <c r="C52" s="482"/>
      <c r="D52" s="482"/>
      <c r="E52" s="482"/>
      <c r="F52" s="482"/>
      <c r="G52" s="482"/>
      <c r="H52" s="35"/>
      <c r="I52" s="260"/>
      <c r="J52" s="518" t="s">
        <v>230</v>
      </c>
      <c r="K52" s="518"/>
      <c r="L52" s="518"/>
      <c r="M52" s="518"/>
      <c r="N52" s="222"/>
    </row>
    <row r="53" spans="1:15" ht="14.4" x14ac:dyDescent="0.3">
      <c r="A53" s="142" t="s">
        <v>84</v>
      </c>
      <c r="B53" s="144">
        <f>SUM(B54:B64)</f>
        <v>2500</v>
      </c>
      <c r="C53" s="494"/>
      <c r="D53" s="494"/>
      <c r="E53" s="494"/>
      <c r="F53" s="494"/>
      <c r="G53" s="494"/>
      <c r="H53" s="248"/>
      <c r="I53" s="260"/>
      <c r="J53" s="288" t="s">
        <v>231</v>
      </c>
      <c r="K53" s="288"/>
      <c r="L53" s="288"/>
      <c r="M53" s="289"/>
      <c r="N53" s="222"/>
    </row>
    <row r="54" spans="1:15" ht="14.4" x14ac:dyDescent="0.3">
      <c r="A54" s="145" t="s">
        <v>191</v>
      </c>
      <c r="B54" s="146">
        <v>1570</v>
      </c>
      <c r="C54" s="482"/>
      <c r="D54" s="482"/>
      <c r="E54" s="482"/>
      <c r="F54" s="482"/>
      <c r="G54" s="482"/>
      <c r="H54" s="248"/>
      <c r="I54" s="260"/>
      <c r="J54" s="519" t="s">
        <v>232</v>
      </c>
      <c r="K54" s="520"/>
      <c r="L54" s="520"/>
      <c r="M54" s="290">
        <v>0.4</v>
      </c>
      <c r="N54" s="222"/>
    </row>
    <row r="55" spans="1:15" ht="14.4" x14ac:dyDescent="0.3">
      <c r="A55" s="147" t="s">
        <v>192</v>
      </c>
      <c r="B55" s="148"/>
      <c r="C55" s="482" t="s">
        <v>153</v>
      </c>
      <c r="D55" s="482"/>
      <c r="E55" s="482"/>
      <c r="F55" s="482"/>
      <c r="G55" s="482"/>
      <c r="H55" s="248"/>
      <c r="I55" s="260"/>
      <c r="J55" s="504" t="s">
        <v>233</v>
      </c>
      <c r="K55" s="505"/>
      <c r="L55" s="505"/>
      <c r="M55" s="291">
        <f>J34*$M$54</f>
        <v>1000</v>
      </c>
      <c r="N55" s="222"/>
    </row>
    <row r="56" spans="1:15" ht="14.4" x14ac:dyDescent="0.3">
      <c r="A56" s="147" t="s">
        <v>193</v>
      </c>
      <c r="B56" s="148"/>
      <c r="C56" s="482" t="s">
        <v>194</v>
      </c>
      <c r="D56" s="482"/>
      <c r="E56" s="482"/>
      <c r="F56" s="482"/>
      <c r="G56" s="482"/>
      <c r="H56" s="248"/>
      <c r="I56" s="260"/>
      <c r="J56" s="292" t="s">
        <v>234</v>
      </c>
      <c r="K56" s="293"/>
      <c r="L56" s="293"/>
      <c r="M56" s="294"/>
      <c r="N56" s="222"/>
    </row>
    <row r="57" spans="1:15" ht="45" customHeight="1" x14ac:dyDescent="0.3">
      <c r="A57" s="147" t="s">
        <v>195</v>
      </c>
      <c r="B57" s="148"/>
      <c r="C57" s="482" t="s">
        <v>196</v>
      </c>
      <c r="D57" s="482"/>
      <c r="E57" s="482"/>
      <c r="F57" s="482"/>
      <c r="G57" s="482"/>
      <c r="H57" s="248"/>
      <c r="I57" s="272"/>
      <c r="J57" s="295" t="s">
        <v>101</v>
      </c>
      <c r="K57" s="296">
        <v>45</v>
      </c>
      <c r="L57" s="297" t="s">
        <v>102</v>
      </c>
      <c r="M57" s="296">
        <v>36</v>
      </c>
      <c r="N57" s="275"/>
    </row>
    <row r="58" spans="1:15" ht="43.2" x14ac:dyDescent="0.3">
      <c r="A58" s="147" t="s">
        <v>197</v>
      </c>
      <c r="B58" s="148"/>
      <c r="C58" s="482" t="s">
        <v>153</v>
      </c>
      <c r="D58" s="482"/>
      <c r="E58" s="482"/>
      <c r="F58" s="482"/>
      <c r="G58" s="482"/>
      <c r="H58" s="248"/>
      <c r="I58" s="135"/>
      <c r="J58" s="298" t="s">
        <v>98</v>
      </c>
      <c r="K58" s="299">
        <f>IF(K57="","",B34*M57/K57)</f>
        <v>2000</v>
      </c>
      <c r="L58" s="297" t="s">
        <v>100</v>
      </c>
      <c r="M58" s="299">
        <f>IF(K57="","",J34*M57/K57)</f>
        <v>2000</v>
      </c>
      <c r="N58" s="96"/>
    </row>
    <row r="59" spans="1:15" ht="32.25" customHeight="1" x14ac:dyDescent="0.3">
      <c r="A59" s="147" t="s">
        <v>198</v>
      </c>
      <c r="B59" s="148"/>
      <c r="C59" s="482" t="s">
        <v>153</v>
      </c>
      <c r="D59" s="482"/>
      <c r="E59" s="482"/>
      <c r="F59" s="482"/>
      <c r="G59" s="482"/>
      <c r="H59" s="248"/>
      <c r="I59" s="276"/>
      <c r="J59" s="300" t="s">
        <v>99</v>
      </c>
      <c r="K59" s="301">
        <f>IF(K57="","",J34*M57/K57*J37)</f>
        <v>1256</v>
      </c>
      <c r="L59" s="506" t="s">
        <v>103</v>
      </c>
      <c r="M59" s="507"/>
      <c r="N59" s="220"/>
    </row>
    <row r="60" spans="1:15" ht="28.8" x14ac:dyDescent="0.3">
      <c r="A60" s="147" t="s">
        <v>199</v>
      </c>
      <c r="B60" s="148">
        <v>930</v>
      </c>
      <c r="C60" s="482" t="s">
        <v>153</v>
      </c>
      <c r="D60" s="482"/>
      <c r="E60" s="482"/>
      <c r="F60" s="482"/>
      <c r="G60" s="482"/>
      <c r="H60" s="248"/>
      <c r="I60" s="260"/>
      <c r="J60" s="135"/>
      <c r="K60" s="135"/>
      <c r="L60" s="135"/>
      <c r="M60" s="96"/>
      <c r="N60" s="222"/>
    </row>
    <row r="61" spans="1:15" ht="18.600000000000001" thickBot="1" x14ac:dyDescent="0.35">
      <c r="A61" s="147" t="s">
        <v>200</v>
      </c>
      <c r="B61" s="148"/>
      <c r="C61" s="482" t="s">
        <v>153</v>
      </c>
      <c r="D61" s="482"/>
      <c r="E61" s="482"/>
      <c r="F61" s="482"/>
      <c r="G61" s="482"/>
      <c r="H61" s="248"/>
      <c r="I61" s="260"/>
      <c r="J61" s="302" t="s">
        <v>235</v>
      </c>
      <c r="K61" s="303"/>
      <c r="L61" s="303"/>
      <c r="M61" s="303"/>
      <c r="N61" s="222"/>
    </row>
    <row r="62" spans="1:15" ht="15.6" thickTop="1" thickBot="1" x14ac:dyDescent="0.35">
      <c r="A62" s="147" t="s">
        <v>201</v>
      </c>
      <c r="B62" s="148"/>
      <c r="C62" s="482" t="s">
        <v>153</v>
      </c>
      <c r="D62" s="482"/>
      <c r="E62" s="482"/>
      <c r="F62" s="482"/>
      <c r="G62" s="482"/>
      <c r="H62" s="248"/>
      <c r="I62" s="260"/>
      <c r="J62" s="304" t="s">
        <v>94</v>
      </c>
      <c r="K62" s="305"/>
      <c r="L62" s="306"/>
      <c r="M62" s="307">
        <v>0.8</v>
      </c>
      <c r="N62" s="286"/>
      <c r="O62" s="16"/>
    </row>
    <row r="63" spans="1:15" ht="15.6" thickTop="1" thickBot="1" x14ac:dyDescent="0.35">
      <c r="A63" s="147" t="s">
        <v>202</v>
      </c>
      <c r="B63" s="148"/>
      <c r="C63" s="482" t="s">
        <v>153</v>
      </c>
      <c r="D63" s="482"/>
      <c r="E63" s="482"/>
      <c r="F63" s="482"/>
      <c r="G63" s="482"/>
      <c r="H63" s="248"/>
      <c r="I63" s="260"/>
      <c r="J63" s="135"/>
      <c r="K63" s="135"/>
      <c r="L63" s="135"/>
      <c r="M63" s="96"/>
      <c r="N63" s="222"/>
      <c r="O63" s="16"/>
    </row>
    <row r="64" spans="1:15" ht="15" thickTop="1" x14ac:dyDescent="0.3">
      <c r="A64" s="147" t="s">
        <v>203</v>
      </c>
      <c r="B64" s="148"/>
      <c r="C64" s="482" t="s">
        <v>153</v>
      </c>
      <c r="D64" s="482"/>
      <c r="E64" s="482"/>
      <c r="F64" s="482"/>
      <c r="G64" s="482"/>
      <c r="H64" s="35"/>
      <c r="I64" s="260"/>
      <c r="J64" s="308" t="s">
        <v>236</v>
      </c>
      <c r="K64" s="309"/>
      <c r="L64" s="309"/>
      <c r="M64" s="310"/>
      <c r="N64" s="222"/>
      <c r="O64" s="16"/>
    </row>
    <row r="65" spans="1:15" ht="14.4" x14ac:dyDescent="0.3">
      <c r="A65" s="142" t="s">
        <v>2</v>
      </c>
      <c r="B65" s="144">
        <f>SUM(B66:B67)</f>
        <v>0</v>
      </c>
      <c r="C65" s="494"/>
      <c r="D65" s="494"/>
      <c r="E65" s="494"/>
      <c r="F65" s="494"/>
      <c r="G65" s="494"/>
      <c r="H65" s="248"/>
      <c r="I65" s="260"/>
      <c r="J65" s="311" t="s">
        <v>69</v>
      </c>
      <c r="K65" s="312"/>
      <c r="L65" s="313" t="str">
        <f>B9</f>
        <v xml:space="preserve">Association, fondation et assimilé </v>
      </c>
      <c r="M65" s="314"/>
      <c r="N65" s="222"/>
      <c r="O65" s="16"/>
    </row>
    <row r="66" spans="1:15" ht="21.75" customHeight="1" thickBot="1" x14ac:dyDescent="0.35">
      <c r="A66" s="147" t="s">
        <v>204</v>
      </c>
      <c r="B66" s="148"/>
      <c r="C66" s="497" t="s">
        <v>164</v>
      </c>
      <c r="D66" s="497"/>
      <c r="E66" s="497"/>
      <c r="F66" s="497"/>
      <c r="G66" s="497"/>
      <c r="H66" s="248"/>
      <c r="I66" s="260"/>
      <c r="J66" s="315" t="s">
        <v>70</v>
      </c>
      <c r="K66" s="316"/>
      <c r="L66" s="316"/>
      <c r="M66" s="317" t="str">
        <f>IF(OR(L65="Association, fondation et assimilé ",L65="Bureau d’étude ou autre entreprise ",L65="Autre privé"),"oui","non")</f>
        <v>oui</v>
      </c>
      <c r="N66" s="222"/>
      <c r="O66" s="16"/>
    </row>
    <row r="67" spans="1:15" ht="21.75" customHeight="1" thickTop="1" thickBot="1" x14ac:dyDescent="0.35">
      <c r="A67" s="147" t="s">
        <v>205</v>
      </c>
      <c r="B67" s="148"/>
      <c r="C67" s="482"/>
      <c r="D67" s="482"/>
      <c r="E67" s="482"/>
      <c r="F67" s="482"/>
      <c r="G67" s="482"/>
      <c r="H67" s="36"/>
      <c r="I67" s="260"/>
      <c r="J67" s="135"/>
      <c r="K67" s="135"/>
      <c r="L67" s="135"/>
      <c r="M67" s="96"/>
      <c r="N67" s="222"/>
      <c r="O67" s="16"/>
    </row>
    <row r="68" spans="1:15" ht="21.75" customHeight="1" thickTop="1" x14ac:dyDescent="0.3">
      <c r="A68" s="142" t="s">
        <v>77</v>
      </c>
      <c r="B68" s="143"/>
      <c r="C68" s="482"/>
      <c r="D68" s="482"/>
      <c r="E68" s="482"/>
      <c r="F68" s="482"/>
      <c r="G68" s="482"/>
      <c r="H68" s="135"/>
      <c r="I68" s="260"/>
      <c r="J68" s="318" t="s">
        <v>237</v>
      </c>
      <c r="K68" s="319"/>
      <c r="L68" s="319"/>
      <c r="M68" s="320"/>
      <c r="N68" s="222"/>
      <c r="O68" s="16"/>
    </row>
    <row r="69" spans="1:15" ht="15" thickBot="1" x14ac:dyDescent="0.35">
      <c r="A69" s="149" t="s">
        <v>65</v>
      </c>
      <c r="B69" s="104">
        <f>B51+B52+B53+B65+B68</f>
        <v>2500</v>
      </c>
      <c r="C69" s="150"/>
      <c r="D69" s="150"/>
      <c r="E69" s="150"/>
      <c r="F69" s="150"/>
      <c r="G69" s="150"/>
      <c r="H69" s="152"/>
      <c r="I69" s="260"/>
      <c r="J69" s="321" t="s">
        <v>91</v>
      </c>
      <c r="K69" s="121"/>
      <c r="L69" s="121"/>
      <c r="M69" s="322" t="s">
        <v>68</v>
      </c>
      <c r="N69" s="222"/>
      <c r="O69" s="16"/>
    </row>
    <row r="70" spans="1:15" ht="14.4" x14ac:dyDescent="0.3">
      <c r="A70" s="48" t="str">
        <f>IF(J37&gt;M62,"le taux d'aide est supérieur au taux plafond que l'OFB peut apporter, il convient de diminuer votre demande d'aide à l'OFB.","")</f>
        <v/>
      </c>
      <c r="B70" s="151"/>
      <c r="C70" s="152"/>
      <c r="D70" s="152"/>
      <c r="E70" s="152"/>
      <c r="F70" s="152"/>
      <c r="G70" s="152"/>
      <c r="H70" s="152"/>
      <c r="I70" s="260"/>
      <c r="J70" s="321" t="s">
        <v>92</v>
      </c>
      <c r="K70" s="121"/>
      <c r="L70" s="121"/>
      <c r="M70" s="322" t="s">
        <v>68</v>
      </c>
      <c r="N70" s="222"/>
      <c r="O70" s="16"/>
    </row>
    <row r="71" spans="1:15" ht="15" thickBot="1" x14ac:dyDescent="0.35">
      <c r="A71" s="48"/>
      <c r="B71" s="151"/>
      <c r="C71" s="152"/>
      <c r="D71" s="152"/>
      <c r="E71" s="152"/>
      <c r="F71" s="152"/>
      <c r="G71" s="152"/>
      <c r="H71" s="152"/>
      <c r="I71" s="260"/>
      <c r="J71" s="315" t="s">
        <v>93</v>
      </c>
      <c r="K71" s="316"/>
      <c r="L71" s="270"/>
      <c r="M71" s="323">
        <f>IF(M70="oui",100%,IF(M69="oui",20%,5%))</f>
        <v>1</v>
      </c>
      <c r="N71" s="222"/>
      <c r="O71" s="16"/>
    </row>
    <row r="72" spans="1:15" ht="15.75" customHeight="1" thickTop="1" thickBot="1" x14ac:dyDescent="0.35">
      <c r="A72" s="153" t="s">
        <v>206</v>
      </c>
      <c r="B72" s="154">
        <f>B54+B55+B56+B57+B58+B59+B60+B61+B62+B63</f>
        <v>2500</v>
      </c>
      <c r="C72" s="155" t="s">
        <v>207</v>
      </c>
      <c r="D72" s="156">
        <f>B72/B34</f>
        <v>1</v>
      </c>
      <c r="E72" s="157" t="s">
        <v>208</v>
      </c>
      <c r="F72" s="157"/>
      <c r="G72" s="157"/>
      <c r="H72" s="152"/>
      <c r="I72" s="260"/>
      <c r="J72" s="135"/>
      <c r="K72" s="135"/>
      <c r="L72" s="135"/>
      <c r="M72" s="96"/>
      <c r="N72" s="222"/>
      <c r="O72" s="16"/>
    </row>
    <row r="73" spans="1:15" ht="15" thickTop="1" x14ac:dyDescent="0.3">
      <c r="A73" s="48"/>
      <c r="B73" s="151"/>
      <c r="C73" s="152"/>
      <c r="D73" s="158"/>
      <c r="E73" s="152"/>
      <c r="F73" s="152"/>
      <c r="G73" s="152"/>
      <c r="H73" s="152"/>
      <c r="I73" s="260"/>
      <c r="J73" s="308" t="s">
        <v>71</v>
      </c>
      <c r="K73" s="309"/>
      <c r="L73" s="309"/>
      <c r="M73" s="310"/>
      <c r="N73" s="222"/>
      <c r="O73" s="16"/>
    </row>
    <row r="74" spans="1:15" ht="15" thickBot="1" x14ac:dyDescent="0.35">
      <c r="A74" s="48"/>
      <c r="B74" s="151"/>
      <c r="C74" s="152"/>
      <c r="D74" s="152"/>
      <c r="E74" s="152"/>
      <c r="F74" s="152"/>
      <c r="G74" s="152"/>
      <c r="H74" s="152"/>
      <c r="I74" s="260"/>
      <c r="J74" s="508" t="str">
        <f>IF(OR(B9="Etablissement public national (hors EPIC) ",B9="EPIC ",B9="Etablissement réseau chambres d'agriculture "),"Les coût indirects sont plafonnés au montant demandé ou à 15% des couts directs totaux",IF(L65="Association,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 auxquelles s'ajoute le montant du bénévolat valorisé</v>
      </c>
      <c r="K74" s="509"/>
      <c r="L74" s="509"/>
      <c r="M74" s="510"/>
      <c r="N74" s="222"/>
      <c r="O74" s="16"/>
    </row>
    <row r="75" spans="1:15" ht="15" thickTop="1" thickBot="1" x14ac:dyDescent="0.35">
      <c r="A75" s="48"/>
      <c r="B75" s="151"/>
      <c r="C75" s="152"/>
      <c r="D75" s="152"/>
      <c r="E75" s="152"/>
      <c r="F75" s="152"/>
      <c r="G75" s="152"/>
      <c r="H75" s="152"/>
      <c r="I75" s="260"/>
      <c r="J75" s="135"/>
      <c r="K75" s="135"/>
      <c r="L75" s="135"/>
      <c r="M75" s="96"/>
      <c r="N75" s="222"/>
      <c r="O75" s="16"/>
    </row>
    <row r="76" spans="1:15" ht="15.6" thickTop="1" thickBot="1" x14ac:dyDescent="0.35">
      <c r="A76" s="48"/>
      <c r="B76" s="151"/>
      <c r="C76" s="152"/>
      <c r="D76" s="152"/>
      <c r="E76" s="152"/>
      <c r="F76" s="152"/>
      <c r="G76" s="152"/>
      <c r="H76" s="152"/>
      <c r="I76" s="260"/>
      <c r="J76" s="304" t="s">
        <v>238</v>
      </c>
      <c r="K76" s="306"/>
      <c r="L76" s="306"/>
      <c r="M76" s="324" t="s">
        <v>68</v>
      </c>
      <c r="N76" s="222"/>
      <c r="O76" s="16"/>
    </row>
    <row r="77" spans="1:15" ht="15.6" thickTop="1" thickBot="1" x14ac:dyDescent="0.35">
      <c r="A77" s="48"/>
      <c r="B77" s="151"/>
      <c r="C77" s="152"/>
      <c r="D77" s="152"/>
      <c r="E77" s="152"/>
      <c r="F77" s="152"/>
      <c r="G77" s="152"/>
      <c r="H77" s="152"/>
      <c r="I77" s="260"/>
      <c r="J77" s="150"/>
      <c r="K77" s="150"/>
      <c r="L77" s="150"/>
      <c r="M77" s="121"/>
      <c r="N77" s="222"/>
      <c r="O77" s="16"/>
    </row>
    <row r="78" spans="1:15" ht="15" customHeight="1" thickTop="1" x14ac:dyDescent="0.3">
      <c r="A78" s="48"/>
      <c r="B78" s="151"/>
      <c r="C78" s="152"/>
      <c r="D78" s="152"/>
      <c r="E78" s="152"/>
      <c r="F78" s="152"/>
      <c r="G78" s="152"/>
      <c r="H78" s="152"/>
      <c r="I78" s="260"/>
      <c r="J78" s="308" t="s">
        <v>72</v>
      </c>
      <c r="K78" s="309"/>
      <c r="L78" s="309"/>
      <c r="M78" s="310"/>
      <c r="N78" s="222"/>
      <c r="O78" s="16"/>
    </row>
    <row r="79" spans="1:15" ht="14.4" x14ac:dyDescent="0.3">
      <c r="A79" s="48"/>
      <c r="B79" s="151"/>
      <c r="C79" s="152"/>
      <c r="D79" s="152"/>
      <c r="E79" s="152"/>
      <c r="F79" s="152"/>
      <c r="G79" s="152"/>
      <c r="H79" s="152"/>
      <c r="I79" s="260"/>
      <c r="J79" s="311" t="s">
        <v>73</v>
      </c>
      <c r="K79" s="312"/>
      <c r="L79" s="312"/>
      <c r="M79" s="325" t="str">
        <f>IF(L65="Association, fondation et assimilé ","oui","non")</f>
        <v>oui</v>
      </c>
      <c r="N79" s="222"/>
      <c r="O79" s="16"/>
    </row>
    <row r="80" spans="1:15" ht="14.4" x14ac:dyDescent="0.3">
      <c r="A80" s="48"/>
      <c r="B80" s="151"/>
      <c r="C80" s="152"/>
      <c r="D80" s="152"/>
      <c r="E80" s="152"/>
      <c r="F80" s="152"/>
      <c r="G80" s="152"/>
      <c r="H80" s="211"/>
      <c r="I80" s="328"/>
      <c r="J80" s="511" t="s">
        <v>74</v>
      </c>
      <c r="K80" s="512"/>
      <c r="L80" s="513"/>
      <c r="M80" s="322" t="s">
        <v>68</v>
      </c>
      <c r="N80" s="222"/>
      <c r="O80" s="16"/>
    </row>
    <row r="81" spans="1:16" s="25" customFormat="1" ht="15" customHeight="1" thickBot="1" x14ac:dyDescent="0.35">
      <c r="A81" s="13" t="s">
        <v>42</v>
      </c>
      <c r="B81" s="96"/>
      <c r="C81" s="96"/>
      <c r="D81" s="11"/>
      <c r="E81" s="11"/>
      <c r="F81" s="11"/>
      <c r="G81" s="11"/>
      <c r="H81" s="211"/>
      <c r="I81" s="329"/>
      <c r="J81" s="326" t="s">
        <v>75</v>
      </c>
      <c r="K81" s="270"/>
      <c r="L81" s="270"/>
      <c r="M81" s="327" t="str">
        <f>IF((M79="oui")*AND(M80="oui"),"oui","non")</f>
        <v>oui</v>
      </c>
      <c r="N81" s="275"/>
      <c r="O81" s="4"/>
      <c r="P81" s="4"/>
    </row>
    <row r="82" spans="1:16" s="2" customFormat="1" ht="15" thickTop="1" x14ac:dyDescent="0.3">
      <c r="A82" s="159" t="s">
        <v>209</v>
      </c>
      <c r="B82" s="160" t="s">
        <v>95</v>
      </c>
      <c r="C82" s="96"/>
      <c r="D82" s="11"/>
      <c r="E82" s="11"/>
      <c r="F82" s="11"/>
      <c r="G82" s="11"/>
      <c r="H82" s="211"/>
      <c r="I82" s="51"/>
      <c r="J82" s="135"/>
      <c r="K82" s="135"/>
      <c r="L82" s="135"/>
      <c r="M82" s="96"/>
      <c r="N82" s="135"/>
      <c r="O82" s="5"/>
      <c r="P82" s="5"/>
    </row>
    <row r="83" spans="1:16" customFormat="1" ht="18.600000000000001" thickBot="1" x14ac:dyDescent="0.35">
      <c r="A83" s="13" t="s">
        <v>43</v>
      </c>
      <c r="B83" s="96"/>
      <c r="C83" s="96"/>
      <c r="D83" s="11"/>
      <c r="E83" s="11"/>
      <c r="F83" s="11"/>
      <c r="G83" s="11"/>
      <c r="H83" s="51"/>
      <c r="I83" s="17"/>
      <c r="J83" s="330"/>
      <c r="K83" s="330"/>
      <c r="L83" s="330"/>
      <c r="M83" s="330"/>
      <c r="N83" s="96"/>
      <c r="O83" s="1"/>
      <c r="P83" s="25"/>
    </row>
    <row r="84" spans="1:16" customFormat="1" ht="61.8" thickBot="1" x14ac:dyDescent="0.35">
      <c r="A84" s="24" t="s">
        <v>17</v>
      </c>
      <c r="B84" s="161" t="str">
        <f>IF(B82="mois","Niveau de rémunération annuelle brute + charges patronales à temps complet* (en €)","Coût journalier (en €)")</f>
        <v>Niveau de rémunération annuelle brute + charges patronales à temps complet* (en €)</v>
      </c>
      <c r="C84" s="161" t="str">
        <f>IF(B82="mois","Durée d'activité sur le projet (en mois)","Nombre de jour travaillé par an")</f>
        <v>Durée d'activité sur le projet (en mois)</v>
      </c>
      <c r="D84" s="161" t="str">
        <f>IF(B82="mois","Quotité d'activité dédiée au projet (de 0 à 1)","Nombre de jours affectés sur la durée total du projet")</f>
        <v>Quotité d'activité dédiée au projet (de 0 à 1)</v>
      </c>
      <c r="E84" s="162" t="s">
        <v>25</v>
      </c>
      <c r="F84" s="163" t="s">
        <v>210</v>
      </c>
      <c r="G84" s="164" t="s">
        <v>211</v>
      </c>
      <c r="H84" s="17"/>
      <c r="I84" s="332"/>
      <c r="J84" s="96"/>
      <c r="K84" s="96"/>
      <c r="L84" s="96"/>
      <c r="M84" s="96"/>
      <c r="N84" s="96"/>
      <c r="O84" s="1"/>
      <c r="P84" s="2"/>
    </row>
    <row r="85" spans="1:16" customFormat="1" ht="15" thickBot="1" x14ac:dyDescent="0.35">
      <c r="A85" s="165" t="s">
        <v>45</v>
      </c>
      <c r="B85" s="17"/>
      <c r="C85" s="17"/>
      <c r="D85" s="17"/>
      <c r="E85" s="17"/>
      <c r="F85" s="17"/>
      <c r="G85" s="17"/>
      <c r="H85" s="333"/>
      <c r="I85" s="332"/>
      <c r="J85" s="331" t="str">
        <f>IF($B$82="jours","Niveau de rémunération annuelle brute + charges patronales à temps complet* (RESERVÉ OFB)","")</f>
        <v/>
      </c>
      <c r="K85" s="96"/>
      <c r="L85" s="96"/>
      <c r="M85" s="96"/>
      <c r="N85" s="96"/>
      <c r="O85" s="1"/>
    </row>
    <row r="86" spans="1:16" customFormat="1" ht="14.4" x14ac:dyDescent="0.3">
      <c r="A86" s="166"/>
      <c r="B86" s="167"/>
      <c r="C86" s="168"/>
      <c r="D86" s="169"/>
      <c r="E86" s="170">
        <f t="shared" ref="E86:E95" si="1">IF(B$82="mois",((B86/12)*C86)*D86,B86*D86)</f>
        <v>0</v>
      </c>
      <c r="F86" s="171">
        <f t="shared" ref="F86:F95" si="2">IF(B$82="mois",IF($M$66="non",0,MIN((B86/12*C86*D86),(80000/12*C86*D86))),IF($M$66="non",0,IF(C86="","0,00",MIN((B86*D86),(80000/C86*D86)))))</f>
        <v>0</v>
      </c>
      <c r="G86" s="172" t="str">
        <f>IF(B$82="mois",IF(B86&gt;80000,"oui",""),IF(B86*C86&gt;80000,"oui",""))</f>
        <v/>
      </c>
      <c r="H86" s="333"/>
      <c r="I86" s="332"/>
      <c r="J86" s="96"/>
      <c r="K86" s="96"/>
      <c r="L86" s="96"/>
      <c r="M86" s="96"/>
      <c r="N86" s="96"/>
      <c r="O86" s="5"/>
    </row>
    <row r="87" spans="1:16" customFormat="1" ht="14.4" x14ac:dyDescent="0.3">
      <c r="A87" s="173"/>
      <c r="B87" s="174"/>
      <c r="C87" s="175"/>
      <c r="D87" s="176"/>
      <c r="E87" s="177">
        <f t="shared" si="1"/>
        <v>0</v>
      </c>
      <c r="F87" s="178">
        <f t="shared" si="2"/>
        <v>0</v>
      </c>
      <c r="G87" s="179" t="str">
        <f t="shared" ref="G87:G95" si="3">IF(B$82="mois",IF(B87&gt;80000,"oui",""),IF(B87*C87&gt;80000,"oui",""))</f>
        <v/>
      </c>
      <c r="H87" s="333"/>
      <c r="I87" s="332"/>
      <c r="J87" s="334" t="str">
        <f>IF($B$82="jours",B86*C86,"")</f>
        <v/>
      </c>
      <c r="K87" s="96"/>
      <c r="L87" s="96"/>
      <c r="M87" s="96"/>
      <c r="N87" s="211"/>
      <c r="O87" s="1"/>
    </row>
    <row r="88" spans="1:16" customFormat="1" ht="14.4" x14ac:dyDescent="0.3">
      <c r="A88" s="173"/>
      <c r="B88" s="174"/>
      <c r="C88" s="174"/>
      <c r="D88" s="176"/>
      <c r="E88" s="177">
        <f t="shared" si="1"/>
        <v>0</v>
      </c>
      <c r="F88" s="178">
        <f t="shared" si="2"/>
        <v>0</v>
      </c>
      <c r="G88" s="179" t="str">
        <f t="shared" si="3"/>
        <v/>
      </c>
      <c r="H88" s="333"/>
      <c r="I88" s="332"/>
      <c r="J88" s="334" t="str">
        <f t="shared" ref="J88:J96" si="4">IF($B$82="jours",B87*C87,"")</f>
        <v/>
      </c>
      <c r="K88" s="96"/>
      <c r="L88" s="96"/>
      <c r="M88" s="96"/>
      <c r="N88" s="135"/>
      <c r="O88" s="5"/>
    </row>
    <row r="89" spans="1:16" customFormat="1" ht="14.4" x14ac:dyDescent="0.3">
      <c r="A89" s="173"/>
      <c r="B89" s="174"/>
      <c r="C89" s="174"/>
      <c r="D89" s="176"/>
      <c r="E89" s="177">
        <f t="shared" si="1"/>
        <v>0</v>
      </c>
      <c r="F89" s="178">
        <f t="shared" si="2"/>
        <v>0</v>
      </c>
      <c r="G89" s="179" t="str">
        <f t="shared" si="3"/>
        <v/>
      </c>
      <c r="H89" s="333"/>
      <c r="I89" s="332"/>
      <c r="J89" s="334" t="str">
        <f t="shared" si="4"/>
        <v/>
      </c>
      <c r="K89" s="96"/>
      <c r="L89" s="96"/>
      <c r="M89" s="211"/>
      <c r="N89" s="135"/>
      <c r="O89" s="5"/>
    </row>
    <row r="90" spans="1:16" customFormat="1" ht="14.4" x14ac:dyDescent="0.3">
      <c r="A90" s="173"/>
      <c r="B90" s="174"/>
      <c r="C90" s="174"/>
      <c r="D90" s="176"/>
      <c r="E90" s="177">
        <f t="shared" si="1"/>
        <v>0</v>
      </c>
      <c r="F90" s="178">
        <f t="shared" si="2"/>
        <v>0</v>
      </c>
      <c r="G90" s="179" t="str">
        <f t="shared" si="3"/>
        <v/>
      </c>
      <c r="H90" s="333"/>
      <c r="I90" s="332"/>
      <c r="J90" s="334" t="str">
        <f t="shared" si="4"/>
        <v/>
      </c>
      <c r="K90" s="96"/>
      <c r="L90" s="96"/>
      <c r="M90" s="211"/>
      <c r="N90" s="135"/>
      <c r="O90" s="5"/>
    </row>
    <row r="91" spans="1:16" customFormat="1" ht="14.4" x14ac:dyDescent="0.3">
      <c r="A91" s="173"/>
      <c r="B91" s="174"/>
      <c r="C91" s="174"/>
      <c r="D91" s="176"/>
      <c r="E91" s="177">
        <f t="shared" si="1"/>
        <v>0</v>
      </c>
      <c r="F91" s="178">
        <f t="shared" si="2"/>
        <v>0</v>
      </c>
      <c r="G91" s="179" t="str">
        <f t="shared" si="3"/>
        <v/>
      </c>
      <c r="H91" s="333"/>
      <c r="I91" s="332"/>
      <c r="J91" s="334" t="str">
        <f t="shared" si="4"/>
        <v/>
      </c>
      <c r="K91" s="96"/>
      <c r="L91" s="96"/>
      <c r="M91" s="211"/>
      <c r="N91" s="135"/>
      <c r="O91" s="5"/>
    </row>
    <row r="92" spans="1:16" customFormat="1" ht="14.4" x14ac:dyDescent="0.3">
      <c r="A92" s="173"/>
      <c r="B92" s="174"/>
      <c r="C92" s="174"/>
      <c r="D92" s="176"/>
      <c r="E92" s="177">
        <f t="shared" si="1"/>
        <v>0</v>
      </c>
      <c r="F92" s="178">
        <f t="shared" si="2"/>
        <v>0</v>
      </c>
      <c r="G92" s="179" t="str">
        <f t="shared" si="3"/>
        <v/>
      </c>
      <c r="H92" s="333"/>
      <c r="I92" s="332"/>
      <c r="J92" s="334" t="str">
        <f t="shared" si="4"/>
        <v/>
      </c>
      <c r="K92" s="96"/>
      <c r="L92" s="96"/>
      <c r="M92" s="135"/>
      <c r="N92" s="135"/>
      <c r="O92" s="5"/>
    </row>
    <row r="93" spans="1:16" s="3" customFormat="1" ht="16.5" customHeight="1" x14ac:dyDescent="0.3">
      <c r="A93" s="173"/>
      <c r="B93" s="180"/>
      <c r="C93" s="180"/>
      <c r="D93" s="181"/>
      <c r="E93" s="177">
        <f t="shared" si="1"/>
        <v>0</v>
      </c>
      <c r="F93" s="178">
        <f t="shared" si="2"/>
        <v>0</v>
      </c>
      <c r="G93" s="179" t="str">
        <f t="shared" si="3"/>
        <v/>
      </c>
      <c r="H93" s="333"/>
      <c r="I93" s="332"/>
      <c r="J93" s="334" t="str">
        <f t="shared" si="4"/>
        <v/>
      </c>
      <c r="K93" s="96"/>
      <c r="L93" s="96"/>
      <c r="M93" s="211"/>
      <c r="N93" s="135"/>
      <c r="O93" s="5"/>
      <c r="P93"/>
    </row>
    <row r="94" spans="1:16" ht="14.4" x14ac:dyDescent="0.3">
      <c r="A94" s="173"/>
      <c r="B94" s="174"/>
      <c r="C94" s="174"/>
      <c r="D94" s="176"/>
      <c r="E94" s="177">
        <f t="shared" si="1"/>
        <v>0</v>
      </c>
      <c r="F94" s="178">
        <f t="shared" si="2"/>
        <v>0</v>
      </c>
      <c r="G94" s="179" t="str">
        <f t="shared" si="3"/>
        <v/>
      </c>
      <c r="H94" s="333"/>
      <c r="I94" s="335"/>
      <c r="J94" s="334" t="str">
        <f t="shared" si="4"/>
        <v/>
      </c>
      <c r="K94" s="96"/>
      <c r="L94" s="96"/>
      <c r="M94" s="135"/>
      <c r="N94" s="135"/>
      <c r="O94" s="5"/>
      <c r="P94"/>
    </row>
    <row r="95" spans="1:16" customFormat="1" ht="14.4" x14ac:dyDescent="0.3">
      <c r="A95" s="173"/>
      <c r="B95" s="174"/>
      <c r="C95" s="174"/>
      <c r="D95" s="176"/>
      <c r="E95" s="177">
        <f t="shared" si="1"/>
        <v>0</v>
      </c>
      <c r="F95" s="178">
        <f t="shared" si="2"/>
        <v>0</v>
      </c>
      <c r="G95" s="179" t="str">
        <f t="shared" si="3"/>
        <v/>
      </c>
      <c r="H95" s="212"/>
      <c r="I95" s="336"/>
      <c r="J95" s="334" t="str">
        <f t="shared" si="4"/>
        <v/>
      </c>
      <c r="K95" s="96"/>
      <c r="L95" s="96"/>
      <c r="M95" s="135"/>
      <c r="N95" s="135"/>
      <c r="O95" s="5"/>
      <c r="P95" s="3"/>
    </row>
    <row r="96" spans="1:16" ht="15" thickBot="1" x14ac:dyDescent="0.35">
      <c r="A96" s="182" t="s">
        <v>13</v>
      </c>
      <c r="B96" s="183"/>
      <c r="C96" s="184">
        <f>IF(B$82="jours","",SUM(C86:C95))</f>
        <v>0</v>
      </c>
      <c r="D96" s="185" t="str">
        <f>IF(B$82="mois","",SUM(D86:D95))</f>
        <v/>
      </c>
      <c r="E96" s="186">
        <f>SUM(E86:E95)</f>
        <v>0</v>
      </c>
      <c r="F96" s="187">
        <f>SUM(F86:F95)</f>
        <v>0</v>
      </c>
      <c r="G96" s="188"/>
      <c r="H96" s="190"/>
      <c r="I96" s="337"/>
      <c r="J96" s="334" t="str">
        <f t="shared" si="4"/>
        <v/>
      </c>
      <c r="K96" s="96"/>
      <c r="L96" s="96"/>
      <c r="M96" s="135"/>
      <c r="N96" s="135"/>
      <c r="O96" s="5"/>
    </row>
    <row r="97" spans="1:16" customFormat="1" ht="15" thickBot="1" x14ac:dyDescent="0.35">
      <c r="A97" s="189"/>
      <c r="B97" s="190"/>
      <c r="C97" s="190"/>
      <c r="D97" s="191"/>
      <c r="E97" s="191"/>
      <c r="F97" s="191"/>
      <c r="G97" s="190"/>
      <c r="H97" s="213"/>
      <c r="I97" s="338"/>
      <c r="J97" s="96"/>
      <c r="K97" s="96"/>
      <c r="L97" s="96"/>
      <c r="M97" s="135"/>
      <c r="N97" s="135"/>
      <c r="O97" s="5"/>
    </row>
    <row r="98" spans="1:16" customFormat="1" ht="15" customHeight="1" thickBot="1" x14ac:dyDescent="0.35">
      <c r="A98" s="192" t="s">
        <v>61</v>
      </c>
      <c r="B98" s="491"/>
      <c r="C98" s="492"/>
      <c r="D98" s="492"/>
      <c r="E98" s="492"/>
      <c r="F98" s="492"/>
      <c r="G98" s="493"/>
      <c r="H98" s="214"/>
      <c r="I98" s="153"/>
      <c r="J98" s="96"/>
      <c r="K98" s="96"/>
      <c r="L98" s="96"/>
      <c r="M98" s="135"/>
      <c r="N98" s="135"/>
      <c r="O98" s="5"/>
      <c r="P98" s="4"/>
    </row>
    <row r="99" spans="1:16" s="2" customFormat="1" ht="14.4" x14ac:dyDescent="0.3">
      <c r="A99" s="193"/>
      <c r="B99" s="193"/>
      <c r="C99" s="193"/>
      <c r="D99" s="193"/>
      <c r="E99" s="193"/>
      <c r="F99" s="193"/>
      <c r="G99" s="193"/>
      <c r="H99" s="211"/>
      <c r="I99" s="51"/>
      <c r="J99" s="96"/>
      <c r="K99" s="96"/>
      <c r="L99" s="96"/>
      <c r="M99" s="135"/>
      <c r="N99" s="135"/>
      <c r="O99" s="5"/>
      <c r="P99"/>
    </row>
    <row r="100" spans="1:16" customFormat="1" ht="18.600000000000001" thickBot="1" x14ac:dyDescent="0.35">
      <c r="A100" s="13" t="s">
        <v>46</v>
      </c>
      <c r="B100" s="11"/>
      <c r="C100" s="11"/>
      <c r="D100" s="11"/>
      <c r="E100" s="11"/>
      <c r="F100" s="11"/>
      <c r="G100" s="11"/>
      <c r="H100" s="339"/>
      <c r="I100" s="17"/>
      <c r="J100" s="96"/>
      <c r="K100" s="96"/>
      <c r="L100" s="96"/>
      <c r="M100" s="135"/>
      <c r="N100" s="213"/>
      <c r="O100" s="39"/>
    </row>
    <row r="101" spans="1:16" customFormat="1" ht="61.8" thickBot="1" x14ac:dyDescent="0.35">
      <c r="A101" s="52" t="s">
        <v>17</v>
      </c>
      <c r="B101" s="194" t="str">
        <f>IF(B82="mois","Niveau de rémunération annuelle brute + charges patronales à temps complet* (en €)","Coût journalier (en €)")</f>
        <v>Niveau de rémunération annuelle brute + charges patronales à temps complet* (en €)</v>
      </c>
      <c r="C101" s="194" t="str">
        <f>IF(B82="mois","Durée d'activité sur le projet (en mois)","Nombre de jour travaillé par an")</f>
        <v>Durée d'activité sur le projet (en mois)</v>
      </c>
      <c r="D101" s="194" t="str">
        <f>IF(B82="mois","Quotité d'activité dédiée au projet (de 0 à 1)","Nombre de jours affectés sur la durée total du projet")</f>
        <v>Quotité d'activité dédiée au projet (de 0 à 1)</v>
      </c>
      <c r="E101" s="194" t="s">
        <v>25</v>
      </c>
      <c r="F101" s="195" t="s">
        <v>210</v>
      </c>
      <c r="G101" s="196" t="s">
        <v>211</v>
      </c>
      <c r="H101" s="17"/>
      <c r="I101" s="332"/>
      <c r="J101" s="96"/>
      <c r="K101" s="96"/>
      <c r="L101" s="96"/>
      <c r="M101" s="135"/>
      <c r="N101" s="135"/>
      <c r="O101" s="5"/>
      <c r="P101" s="2"/>
    </row>
    <row r="102" spans="1:16" customFormat="1" ht="15" thickBot="1" x14ac:dyDescent="0.35">
      <c r="A102" s="165" t="s">
        <v>45</v>
      </c>
      <c r="B102" s="17"/>
      <c r="C102" s="17"/>
      <c r="D102" s="17"/>
      <c r="E102" s="17"/>
      <c r="F102" s="17"/>
      <c r="G102" s="17"/>
      <c r="H102" s="333"/>
      <c r="I102" s="332"/>
      <c r="J102" s="331" t="str">
        <f>IF($B$82="jours","Niveau de rémunération annuelle brute + charges patronales à temps complet* (RESERVÉ OFB)","")</f>
        <v/>
      </c>
      <c r="K102" s="96"/>
      <c r="L102" s="96"/>
      <c r="M102" s="135"/>
      <c r="N102" s="211"/>
      <c r="O102" s="1"/>
    </row>
    <row r="103" spans="1:16" customFormat="1" ht="14.4" x14ac:dyDescent="0.3">
      <c r="A103" s="166"/>
      <c r="B103" s="167"/>
      <c r="C103" s="168"/>
      <c r="D103" s="169"/>
      <c r="E103" s="170">
        <f>IF(B$82="mois",((B103/12)*C103)*D103,B103*D103)</f>
        <v>0</v>
      </c>
      <c r="F103" s="171">
        <f>IF(B$82="mois",MIN((B103/12*C103*D103),(80000/12*C103*D103)),IF(B103="","0,00",MIN((B103*D103),(80000/C103*D103))))</f>
        <v>0</v>
      </c>
      <c r="G103" s="172" t="str">
        <f t="shared" ref="G103:G112" si="5">IF(B$82="mois",IF(B103&gt;80000,"oui",""),IF(B103*C103&gt;80000,"oui",""))</f>
        <v/>
      </c>
      <c r="H103" s="333"/>
      <c r="I103" s="332"/>
      <c r="J103" s="96"/>
      <c r="K103" s="96"/>
      <c r="L103" s="96"/>
      <c r="M103" s="135"/>
      <c r="N103" s="135"/>
      <c r="O103" s="5"/>
    </row>
    <row r="104" spans="1:16" customFormat="1" ht="14.4" x14ac:dyDescent="0.3">
      <c r="A104" s="173"/>
      <c r="B104" s="174"/>
      <c r="C104" s="175"/>
      <c r="D104" s="176"/>
      <c r="E104" s="177">
        <f t="shared" ref="E104:E112" si="6">IF(B$82="mois",((B104/12)*C104)*D104,B104*D104)</f>
        <v>0</v>
      </c>
      <c r="F104" s="178">
        <f t="shared" ref="F104:F112" si="7">IF(B$82="mois",MIN((B104/12*C104*D104),(80000/12*C104*D104)),IF(B104="","0,00",MIN((B104*D104),(80000/C104*D104))))</f>
        <v>0</v>
      </c>
      <c r="G104" s="179" t="str">
        <f t="shared" si="5"/>
        <v/>
      </c>
      <c r="H104" s="333"/>
      <c r="I104" s="332"/>
      <c r="J104" s="334" t="str">
        <f>IF($B$82="jours",B103*C103,"")</f>
        <v/>
      </c>
      <c r="K104" s="96"/>
      <c r="L104" s="96"/>
      <c r="M104" s="135"/>
      <c r="N104" s="211"/>
      <c r="O104" s="1"/>
    </row>
    <row r="105" spans="1:16" customFormat="1" ht="14.4" x14ac:dyDescent="0.3">
      <c r="A105" s="173"/>
      <c r="B105" s="174"/>
      <c r="C105" s="174"/>
      <c r="D105" s="176"/>
      <c r="E105" s="177">
        <f t="shared" si="6"/>
        <v>0</v>
      </c>
      <c r="F105" s="178">
        <f t="shared" si="7"/>
        <v>0</v>
      </c>
      <c r="G105" s="179" t="str">
        <f t="shared" si="5"/>
        <v/>
      </c>
      <c r="H105" s="333"/>
      <c r="I105" s="332"/>
      <c r="J105" s="334" t="str">
        <f t="shared" ref="J105:J113" si="8">IF($B$82="jours",B104*C104,"")</f>
        <v/>
      </c>
      <c r="K105" s="96"/>
      <c r="L105" s="96"/>
      <c r="M105" s="135"/>
      <c r="N105" s="135"/>
      <c r="O105" s="5"/>
    </row>
    <row r="106" spans="1:16" customFormat="1" ht="14.4" x14ac:dyDescent="0.3">
      <c r="A106" s="173"/>
      <c r="B106" s="174"/>
      <c r="C106" s="174"/>
      <c r="D106" s="176"/>
      <c r="E106" s="177">
        <f t="shared" si="6"/>
        <v>0</v>
      </c>
      <c r="F106" s="178">
        <f t="shared" si="7"/>
        <v>0</v>
      </c>
      <c r="G106" s="179" t="str">
        <f t="shared" si="5"/>
        <v/>
      </c>
      <c r="H106" s="333"/>
      <c r="I106" s="332"/>
      <c r="J106" s="334" t="str">
        <f t="shared" si="8"/>
        <v/>
      </c>
      <c r="K106" s="96"/>
      <c r="L106" s="96"/>
      <c r="M106" s="213"/>
      <c r="N106" s="135"/>
      <c r="O106" s="5"/>
    </row>
    <row r="107" spans="1:16" customFormat="1" ht="14.4" x14ac:dyDescent="0.3">
      <c r="A107" s="173"/>
      <c r="B107" s="174"/>
      <c r="C107" s="174"/>
      <c r="D107" s="176"/>
      <c r="E107" s="177">
        <f t="shared" si="6"/>
        <v>0</v>
      </c>
      <c r="F107" s="178">
        <f t="shared" si="7"/>
        <v>0</v>
      </c>
      <c r="G107" s="179" t="str">
        <f t="shared" si="5"/>
        <v/>
      </c>
      <c r="H107" s="333"/>
      <c r="I107" s="332"/>
      <c r="J107" s="334" t="str">
        <f t="shared" si="8"/>
        <v/>
      </c>
      <c r="K107" s="96"/>
      <c r="L107" s="96"/>
      <c r="M107" s="135"/>
      <c r="N107" s="135"/>
      <c r="O107" s="5"/>
    </row>
    <row r="108" spans="1:16" customFormat="1" ht="14.4" x14ac:dyDescent="0.3">
      <c r="A108" s="173"/>
      <c r="B108" s="174"/>
      <c r="C108" s="174"/>
      <c r="D108" s="176"/>
      <c r="E108" s="177">
        <f t="shared" si="6"/>
        <v>0</v>
      </c>
      <c r="F108" s="178">
        <f t="shared" si="7"/>
        <v>0</v>
      </c>
      <c r="G108" s="179" t="str">
        <f t="shared" si="5"/>
        <v/>
      </c>
      <c r="H108" s="333"/>
      <c r="I108" s="332"/>
      <c r="J108" s="334" t="str">
        <f t="shared" si="8"/>
        <v/>
      </c>
      <c r="K108" s="96"/>
      <c r="L108" s="96"/>
      <c r="M108" s="211"/>
      <c r="N108" s="135"/>
      <c r="O108" s="5"/>
    </row>
    <row r="109" spans="1:16" customFormat="1" ht="14.4" x14ac:dyDescent="0.3">
      <c r="A109" s="173"/>
      <c r="B109" s="174"/>
      <c r="C109" s="174"/>
      <c r="D109" s="176"/>
      <c r="E109" s="177">
        <f t="shared" si="6"/>
        <v>0</v>
      </c>
      <c r="F109" s="178">
        <f t="shared" si="7"/>
        <v>0</v>
      </c>
      <c r="G109" s="179" t="str">
        <f t="shared" si="5"/>
        <v/>
      </c>
      <c r="H109" s="333"/>
      <c r="I109" s="332"/>
      <c r="J109" s="334" t="str">
        <f t="shared" si="8"/>
        <v/>
      </c>
      <c r="K109" s="96"/>
      <c r="L109" s="96"/>
      <c r="M109" s="135"/>
      <c r="N109" s="135"/>
      <c r="O109" s="5"/>
    </row>
    <row r="110" spans="1:16" s="3" customFormat="1" ht="14.4" x14ac:dyDescent="0.3">
      <c r="A110" s="173"/>
      <c r="B110" s="180"/>
      <c r="C110" s="180"/>
      <c r="D110" s="181"/>
      <c r="E110" s="177">
        <f t="shared" si="6"/>
        <v>0</v>
      </c>
      <c r="F110" s="178">
        <f t="shared" si="7"/>
        <v>0</v>
      </c>
      <c r="G110" s="179" t="str">
        <f t="shared" si="5"/>
        <v/>
      </c>
      <c r="H110" s="333"/>
      <c r="I110" s="332"/>
      <c r="J110" s="334" t="str">
        <f t="shared" si="8"/>
        <v/>
      </c>
      <c r="K110" s="96"/>
      <c r="L110" s="96"/>
      <c r="M110" s="211"/>
      <c r="N110" s="135"/>
      <c r="O110" s="5"/>
      <c r="P110"/>
    </row>
    <row r="111" spans="1:16" ht="14.4" x14ac:dyDescent="0.3">
      <c r="A111" s="173"/>
      <c r="B111" s="174"/>
      <c r="C111" s="174"/>
      <c r="D111" s="176"/>
      <c r="E111" s="177">
        <f t="shared" si="6"/>
        <v>0</v>
      </c>
      <c r="F111" s="178">
        <f t="shared" si="7"/>
        <v>0</v>
      </c>
      <c r="G111" s="179" t="str">
        <f t="shared" si="5"/>
        <v/>
      </c>
      <c r="H111" s="333"/>
      <c r="I111" s="335"/>
      <c r="J111" s="334" t="str">
        <f t="shared" si="8"/>
        <v/>
      </c>
      <c r="K111" s="96"/>
      <c r="L111" s="96"/>
      <c r="M111" s="135"/>
      <c r="N111" s="135"/>
      <c r="O111" s="5"/>
      <c r="P111"/>
    </row>
    <row r="112" spans="1:16" ht="14.4" x14ac:dyDescent="0.3">
      <c r="A112" s="173"/>
      <c r="B112" s="174"/>
      <c r="C112" s="174"/>
      <c r="D112" s="176"/>
      <c r="E112" s="177">
        <f t="shared" si="6"/>
        <v>0</v>
      </c>
      <c r="F112" s="178">
        <f t="shared" si="7"/>
        <v>0</v>
      </c>
      <c r="G112" s="179" t="str">
        <f t="shared" si="5"/>
        <v/>
      </c>
      <c r="H112" s="212"/>
      <c r="I112" s="340"/>
      <c r="J112" s="334" t="str">
        <f t="shared" si="8"/>
        <v/>
      </c>
      <c r="K112" s="96"/>
      <c r="L112" s="96"/>
      <c r="M112" s="135"/>
      <c r="N112" s="135"/>
      <c r="O112" s="5"/>
      <c r="P112" s="3"/>
    </row>
    <row r="113" spans="1:15" ht="15" thickBot="1" x14ac:dyDescent="0.35">
      <c r="A113" s="197" t="s">
        <v>13</v>
      </c>
      <c r="B113" s="183"/>
      <c r="C113" s="184">
        <f>IF(B$82="jours","",SUM(C103:C112))</f>
        <v>0</v>
      </c>
      <c r="D113" s="185" t="str">
        <f>IF(B$82="mois","",SUM(D103:D112))</f>
        <v/>
      </c>
      <c r="E113" s="186">
        <f>SUM(E103:E112)</f>
        <v>0</v>
      </c>
      <c r="F113" s="187">
        <f>SUM(F103:F112)</f>
        <v>0</v>
      </c>
      <c r="G113" s="188"/>
      <c r="H113" s="205"/>
      <c r="I113" s="337"/>
      <c r="J113" s="334" t="str">
        <f t="shared" si="8"/>
        <v/>
      </c>
      <c r="K113" s="96"/>
      <c r="L113" s="96"/>
      <c r="M113" s="135"/>
      <c r="N113" s="135"/>
      <c r="O113" s="5"/>
    </row>
    <row r="114" spans="1:15" customFormat="1" ht="15" thickBot="1" x14ac:dyDescent="0.35">
      <c r="A114" s="96"/>
      <c r="B114" s="96"/>
      <c r="C114" s="96"/>
      <c r="D114" s="96"/>
      <c r="E114" s="96"/>
      <c r="F114" s="96"/>
      <c r="G114" s="96"/>
      <c r="H114" s="213"/>
      <c r="I114" s="340"/>
      <c r="J114" s="96"/>
      <c r="K114" s="96"/>
      <c r="L114" s="96"/>
      <c r="M114" s="135"/>
      <c r="N114" s="96"/>
    </row>
    <row r="115" spans="1:15" customFormat="1" ht="15" customHeight="1" thickBot="1" x14ac:dyDescent="0.35">
      <c r="A115" s="192" t="s">
        <v>62</v>
      </c>
      <c r="B115" s="491"/>
      <c r="C115" s="492"/>
      <c r="D115" s="492"/>
      <c r="E115" s="492"/>
      <c r="F115" s="492"/>
      <c r="G115" s="493"/>
      <c r="H115" s="205"/>
      <c r="I115" s="153"/>
      <c r="J115" s="96"/>
      <c r="K115" s="96"/>
      <c r="L115" s="96"/>
      <c r="M115" s="135"/>
      <c r="N115" s="96"/>
    </row>
    <row r="116" spans="1:15" customFormat="1" ht="14.4" x14ac:dyDescent="0.3">
      <c r="A116" s="193"/>
      <c r="B116" s="193"/>
      <c r="C116" s="193"/>
      <c r="D116" s="193"/>
      <c r="E116" s="193"/>
      <c r="F116" s="193"/>
      <c r="G116" s="96"/>
      <c r="H116" s="211"/>
      <c r="I116" s="153"/>
      <c r="J116" s="96"/>
      <c r="K116" s="96"/>
      <c r="L116" s="96"/>
      <c r="M116" s="135"/>
      <c r="N116" s="11"/>
    </row>
    <row r="117" spans="1:15" customFormat="1" ht="18" x14ac:dyDescent="0.3">
      <c r="A117" s="13" t="s">
        <v>212</v>
      </c>
      <c r="B117" s="11"/>
      <c r="C117" s="11"/>
      <c r="D117" s="11"/>
      <c r="E117" s="11"/>
      <c r="F117" s="11"/>
      <c r="G117" s="11"/>
      <c r="H117" s="211"/>
      <c r="I117" s="153"/>
      <c r="J117" s="96"/>
      <c r="K117" s="96"/>
      <c r="L117" s="96"/>
      <c r="M117" s="135"/>
      <c r="N117" s="11"/>
    </row>
    <row r="118" spans="1:15" customFormat="1" ht="18.600000000000001" thickBot="1" x14ac:dyDescent="0.35">
      <c r="A118" s="13"/>
      <c r="B118" s="11"/>
      <c r="C118" s="11"/>
      <c r="D118" s="11"/>
      <c r="E118" s="11"/>
      <c r="F118" s="11"/>
      <c r="G118" s="11"/>
      <c r="H118" s="211"/>
      <c r="I118" s="153"/>
      <c r="J118" s="96"/>
      <c r="K118" s="96"/>
      <c r="L118" s="96"/>
      <c r="M118" s="135"/>
      <c r="N118" s="11"/>
    </row>
    <row r="119" spans="1:15" customFormat="1" ht="86.4" x14ac:dyDescent="0.3">
      <c r="A119" s="14" t="s">
        <v>18</v>
      </c>
      <c r="B119" s="15" t="s">
        <v>213</v>
      </c>
      <c r="C119" s="15" t="s">
        <v>214</v>
      </c>
      <c r="D119" s="15" t="s">
        <v>52</v>
      </c>
      <c r="E119" s="15" t="s">
        <v>215</v>
      </c>
      <c r="F119" s="11"/>
      <c r="G119" s="11"/>
      <c r="H119" s="211"/>
      <c r="I119" s="153"/>
      <c r="J119" s="96"/>
      <c r="K119" s="96"/>
      <c r="L119" s="96"/>
      <c r="M119" s="135"/>
      <c r="N119" s="11"/>
    </row>
    <row r="120" spans="1:15" customFormat="1" ht="14.4" x14ac:dyDescent="0.3">
      <c r="A120" s="198"/>
      <c r="B120" s="199"/>
      <c r="C120" s="199"/>
      <c r="D120" s="199"/>
      <c r="E120" s="200" t="str">
        <f t="shared" ref="E120:E124" si="9">IF(B120&lt;&gt;"",MIN(B120/(C120*12)*D120,B120),"")</f>
        <v/>
      </c>
      <c r="F120" s="11"/>
      <c r="G120" s="11"/>
      <c r="H120" s="211"/>
      <c r="I120" s="340"/>
      <c r="J120" s="213"/>
      <c r="K120" s="213"/>
      <c r="L120" s="135"/>
      <c r="M120" s="135"/>
      <c r="N120" s="11"/>
    </row>
    <row r="121" spans="1:15" customFormat="1" ht="14.4" x14ac:dyDescent="0.3">
      <c r="A121" s="198"/>
      <c r="B121" s="199"/>
      <c r="C121" s="199"/>
      <c r="D121" s="199"/>
      <c r="E121" s="200" t="str">
        <f t="shared" si="9"/>
        <v/>
      </c>
      <c r="F121" s="11"/>
      <c r="G121" s="11"/>
      <c r="H121" s="211"/>
      <c r="I121" s="340"/>
      <c r="J121" s="135"/>
      <c r="K121" s="135"/>
      <c r="L121" s="135"/>
      <c r="M121" s="135"/>
      <c r="N121" s="11"/>
    </row>
    <row r="122" spans="1:15" customFormat="1" ht="14.4" x14ac:dyDescent="0.3">
      <c r="A122" s="198"/>
      <c r="B122" s="199"/>
      <c r="C122" s="199"/>
      <c r="D122" s="199"/>
      <c r="E122" s="200" t="str">
        <f t="shared" si="9"/>
        <v/>
      </c>
      <c r="F122" s="11"/>
      <c r="G122" s="11"/>
      <c r="H122" s="211"/>
      <c r="I122" s="340"/>
      <c r="J122" s="135"/>
      <c r="K122" s="135"/>
      <c r="L122" s="135"/>
      <c r="M122" s="135"/>
      <c r="N122" s="11"/>
    </row>
    <row r="123" spans="1:15" ht="14.4" x14ac:dyDescent="0.3">
      <c r="A123" s="198"/>
      <c r="B123" s="199"/>
      <c r="C123" s="199"/>
      <c r="D123" s="199"/>
      <c r="E123" s="200" t="str">
        <f t="shared" si="9"/>
        <v/>
      </c>
      <c r="F123" s="11"/>
      <c r="G123" s="11"/>
      <c r="H123" s="211"/>
      <c r="I123" s="96"/>
      <c r="J123" s="135"/>
      <c r="K123" s="135"/>
      <c r="L123" s="213"/>
      <c r="M123" s="11"/>
      <c r="N123" s="96"/>
    </row>
    <row r="124" spans="1:15" customFormat="1" ht="14.4" x14ac:dyDescent="0.3">
      <c r="A124" s="198"/>
      <c r="B124" s="199"/>
      <c r="C124" s="199"/>
      <c r="D124" s="199"/>
      <c r="E124" s="200" t="str">
        <f t="shared" si="9"/>
        <v/>
      </c>
      <c r="F124" s="11"/>
      <c r="G124" s="11"/>
      <c r="H124" s="211"/>
      <c r="I124" s="96"/>
      <c r="J124" s="135"/>
      <c r="K124" s="135"/>
      <c r="L124" s="135"/>
      <c r="M124" s="11"/>
      <c r="N124" s="11"/>
    </row>
    <row r="125" spans="1:15" ht="15" thickBot="1" x14ac:dyDescent="0.35">
      <c r="A125" s="201" t="s">
        <v>13</v>
      </c>
      <c r="B125" s="202">
        <f t="shared" ref="B125:D125" si="10">SUM(B120:B124)</f>
        <v>0</v>
      </c>
      <c r="C125" s="202">
        <f t="shared" si="10"/>
        <v>0</v>
      </c>
      <c r="D125" s="202">
        <f t="shared" si="10"/>
        <v>0</v>
      </c>
      <c r="E125" s="203">
        <f>SUM(E120:E124)</f>
        <v>0</v>
      </c>
      <c r="F125" s="11"/>
      <c r="G125" s="11"/>
      <c r="H125" s="205"/>
      <c r="I125" s="96"/>
      <c r="J125" s="135"/>
      <c r="K125" s="135"/>
      <c r="L125" s="135"/>
      <c r="M125" s="11"/>
      <c r="N125" s="96"/>
    </row>
    <row r="126" spans="1:15" ht="15" thickBot="1" x14ac:dyDescent="0.35">
      <c r="A126" s="96"/>
      <c r="B126" s="96"/>
      <c r="C126" s="96"/>
      <c r="D126" s="96"/>
      <c r="E126" s="96"/>
      <c r="F126" s="96"/>
      <c r="G126" s="96"/>
      <c r="H126" s="213"/>
      <c r="I126" s="96"/>
      <c r="J126" s="135"/>
      <c r="K126" s="135"/>
      <c r="L126" s="135"/>
      <c r="M126" s="11"/>
      <c r="N126" s="96"/>
    </row>
    <row r="127" spans="1:15" customFormat="1" ht="52.5" customHeight="1" thickBot="1" x14ac:dyDescent="0.35">
      <c r="A127" s="192" t="s">
        <v>67</v>
      </c>
      <c r="B127" s="491"/>
      <c r="C127" s="492"/>
      <c r="D127" s="492"/>
      <c r="E127" s="492"/>
      <c r="F127" s="492"/>
      <c r="G127" s="493"/>
      <c r="H127" s="205"/>
      <c r="I127" s="96"/>
      <c r="J127" s="135"/>
      <c r="K127" s="135"/>
      <c r="L127" s="135"/>
      <c r="M127" s="11"/>
      <c r="N127" s="11"/>
    </row>
    <row r="128" spans="1:15" ht="14.4" x14ac:dyDescent="0.3">
      <c r="J128" s="135"/>
      <c r="K128" s="135"/>
      <c r="L128" s="135"/>
      <c r="M128" s="11"/>
    </row>
    <row r="129" spans="10:13" ht="14.4" x14ac:dyDescent="0.3">
      <c r="J129" s="135"/>
      <c r="K129" s="135"/>
      <c r="L129" s="135"/>
      <c r="M129" s="11"/>
    </row>
    <row r="130" spans="10:13" ht="14.4" x14ac:dyDescent="0.3">
      <c r="M130"/>
    </row>
    <row r="132" spans="10:13" ht="14.4" x14ac:dyDescent="0.3">
      <c r="J132" s="39"/>
      <c r="K132" s="39"/>
      <c r="M132"/>
    </row>
    <row r="135" spans="10:13" ht="14.4" x14ac:dyDescent="0.3">
      <c r="L135" s="39"/>
      <c r="M135"/>
    </row>
  </sheetData>
  <mergeCells count="71">
    <mergeCell ref="J55:L55"/>
    <mergeCell ref="L59:M59"/>
    <mergeCell ref="J74:M74"/>
    <mergeCell ref="J80:L80"/>
    <mergeCell ref="K41:M41"/>
    <mergeCell ref="K42:M42"/>
    <mergeCell ref="J46:M46"/>
    <mergeCell ref="J52:M52"/>
    <mergeCell ref="J54:L54"/>
    <mergeCell ref="J51:L51"/>
    <mergeCell ref="L24:M24"/>
    <mergeCell ref="L25:M25"/>
    <mergeCell ref="L26:M26"/>
    <mergeCell ref="L27:M27"/>
    <mergeCell ref="L18:M18"/>
    <mergeCell ref="L19:M19"/>
    <mergeCell ref="L20:M20"/>
    <mergeCell ref="L21:M21"/>
    <mergeCell ref="L22:M22"/>
    <mergeCell ref="L29:M29"/>
    <mergeCell ref="L32:M32"/>
    <mergeCell ref="A8:A9"/>
    <mergeCell ref="C64:G64"/>
    <mergeCell ref="C63:G63"/>
    <mergeCell ref="C60:G60"/>
    <mergeCell ref="C61:G61"/>
    <mergeCell ref="C40:G40"/>
    <mergeCell ref="C41:G41"/>
    <mergeCell ref="C43:G43"/>
    <mergeCell ref="C49:G49"/>
    <mergeCell ref="C50:G50"/>
    <mergeCell ref="C26:G26"/>
    <mergeCell ref="C22:G22"/>
    <mergeCell ref="C23:G23"/>
    <mergeCell ref="L23:M23"/>
    <mergeCell ref="B127:G127"/>
    <mergeCell ref="C67:G67"/>
    <mergeCell ref="C68:G68"/>
    <mergeCell ref="C65:G65"/>
    <mergeCell ref="B98:G98"/>
    <mergeCell ref="C66:G66"/>
    <mergeCell ref="K34:M34"/>
    <mergeCell ref="C27:G27"/>
    <mergeCell ref="C28:G28"/>
    <mergeCell ref="C29:G29"/>
    <mergeCell ref="B115:G115"/>
    <mergeCell ref="C55:G55"/>
    <mergeCell ref="C56:G56"/>
    <mergeCell ref="C53:G53"/>
    <mergeCell ref="C57:G57"/>
    <mergeCell ref="C58:G58"/>
    <mergeCell ref="C59:G59"/>
    <mergeCell ref="C51:G51"/>
    <mergeCell ref="C52:G52"/>
    <mergeCell ref="C54:G54"/>
    <mergeCell ref="C62:G62"/>
    <mergeCell ref="L28:M28"/>
    <mergeCell ref="C36:G36"/>
    <mergeCell ref="B9:G9"/>
    <mergeCell ref="B8:G8"/>
    <mergeCell ref="B4:G4"/>
    <mergeCell ref="B5:G5"/>
    <mergeCell ref="B6:G6"/>
    <mergeCell ref="B7:G7"/>
    <mergeCell ref="C24:G24"/>
    <mergeCell ref="C25:G25"/>
    <mergeCell ref="C16:G16"/>
    <mergeCell ref="C18:G18"/>
    <mergeCell ref="C19:G19"/>
    <mergeCell ref="C20:G20"/>
    <mergeCell ref="C21:G21"/>
  </mergeCells>
  <conditionalFormatting sqref="M69">
    <cfRule type="cellIs" dxfId="7" priority="8" operator="equal">
      <formula>"oui"</formula>
    </cfRule>
  </conditionalFormatting>
  <conditionalFormatting sqref="M70">
    <cfRule type="cellIs" dxfId="6" priority="7" operator="equal">
      <formula>"oui"</formula>
    </cfRule>
  </conditionalFormatting>
  <conditionalFormatting sqref="M71">
    <cfRule type="cellIs" dxfId="5" priority="6" operator="greaterThan">
      <formula>0.05</formula>
    </cfRule>
  </conditionalFormatting>
  <conditionalFormatting sqref="M62">
    <cfRule type="cellIs" dxfId="4" priority="5" operator="greaterThan">
      <formula>0.8</formula>
    </cfRule>
  </conditionalFormatting>
  <conditionalFormatting sqref="M49">
    <cfRule type="cellIs" dxfId="3" priority="3" operator="greaterThan">
      <formula>$M$62</formula>
    </cfRule>
    <cfRule type="cellIs" dxfId="2" priority="4" operator="greaterThan">
      <formula>"M60"</formula>
    </cfRule>
  </conditionalFormatting>
  <conditionalFormatting sqref="M51">
    <cfRule type="cellIs" dxfId="1" priority="1" operator="greaterThan">
      <formula>$M$62</formula>
    </cfRule>
    <cfRule type="cellIs" dxfId="0" priority="2" operator="greaterThan">
      <formula>"M60"</formula>
    </cfRule>
  </conditionalFormatting>
  <dataValidations count="4">
    <dataValidation type="list" allowBlank="1" showInputMessage="1" showErrorMessage="1" sqref="M69:M70 M76 M80" xr:uid="{B0F82300-FC3D-428E-B843-5309DDCBA232}">
      <formula1>"oui,non"</formula1>
    </dataValidation>
    <dataValidation type="list" allowBlank="1" showInputMessage="1" showErrorMessage="1" promptTitle="Statut juridique" prompt="[Menu déroulant]" sqref="B9:G9"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82" xr:uid="{07288714-4A19-4D70-94FF-D947E5A49A3A}">
      <formula1>"mois, jours"</formula1>
    </dataValidation>
    <dataValidation type="list" allowBlank="1" showInputMessage="1" showErrorMessage="1" sqref="H9"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6" max="6" man="1"/>
    <brk id="8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topLeftCell="A43" zoomScaleNormal="100" workbookViewId="0">
      <selection activeCell="A56" sqref="A56:XFD56"/>
    </sheetView>
  </sheetViews>
  <sheetFormatPr baseColWidth="10" defaultRowHeight="14.4" x14ac:dyDescent="0.3"/>
  <cols>
    <col min="1" max="4" width="15.109375" style="368" customWidth="1"/>
    <col min="5" max="5" width="15.6640625" style="16" customWidth="1"/>
    <col min="6" max="6" width="1.33203125" style="16" customWidth="1"/>
    <col min="7" max="7" width="17.88671875" style="16" customWidth="1"/>
  </cols>
  <sheetData>
    <row r="1" spans="1:7" x14ac:dyDescent="0.3">
      <c r="A1" s="415" t="s">
        <v>239</v>
      </c>
      <c r="B1" s="416"/>
      <c r="C1" s="416"/>
      <c r="D1" s="416"/>
      <c r="E1" s="416"/>
      <c r="F1" s="417"/>
      <c r="G1" s="418" t="str">
        <f>'Demandeur 1'!A1</f>
        <v>V2.2</v>
      </c>
    </row>
    <row r="2" spans="1:7" x14ac:dyDescent="0.3">
      <c r="A2" s="369"/>
      <c r="B2" s="369"/>
      <c r="C2" s="369"/>
      <c r="D2" s="369"/>
      <c r="E2" s="370"/>
      <c r="F2" s="371"/>
      <c r="G2" s="371"/>
    </row>
    <row r="3" spans="1:7" x14ac:dyDescent="0.3">
      <c r="A3" s="369"/>
      <c r="B3" s="369"/>
      <c r="C3" s="369"/>
      <c r="D3" s="369"/>
      <c r="E3" s="370"/>
      <c r="F3" s="371"/>
      <c r="G3" s="371"/>
    </row>
    <row r="4" spans="1:7" x14ac:dyDescent="0.3">
      <c r="A4" s="526" t="s">
        <v>240</v>
      </c>
      <c r="B4" s="526"/>
      <c r="C4" s="526"/>
      <c r="D4" s="526"/>
      <c r="E4" s="372"/>
      <c r="F4" s="371"/>
      <c r="G4" s="373" t="s">
        <v>241</v>
      </c>
    </row>
    <row r="5" spans="1:7" x14ac:dyDescent="0.3">
      <c r="A5" s="527" t="s">
        <v>80</v>
      </c>
      <c r="B5" s="527"/>
      <c r="C5" s="527"/>
      <c r="D5" s="527"/>
      <c r="E5" s="374"/>
      <c r="F5" s="371"/>
      <c r="G5" s="375"/>
    </row>
    <row r="6" spans="1:7" x14ac:dyDescent="0.3">
      <c r="A6" s="528" t="s">
        <v>181</v>
      </c>
      <c r="B6" s="529"/>
      <c r="C6" s="529"/>
      <c r="D6" s="530"/>
      <c r="E6" s="376">
        <f>'Demandeur 1'!B18</f>
        <v>2000</v>
      </c>
      <c r="F6" s="371"/>
      <c r="G6" s="376">
        <f>'Demandeur 1'!J18</f>
        <v>2000</v>
      </c>
    </row>
    <row r="7" spans="1:7" x14ac:dyDescent="0.3">
      <c r="A7" s="524" t="s">
        <v>35</v>
      </c>
      <c r="B7" s="524"/>
      <c r="C7" s="524"/>
      <c r="D7" s="524"/>
      <c r="E7" s="376">
        <f>'Demandeur 1'!B19</f>
        <v>500</v>
      </c>
      <c r="F7" s="371"/>
      <c r="G7" s="376">
        <f>'Demandeur 1'!J19</f>
        <v>500</v>
      </c>
    </row>
    <row r="8" spans="1:7" x14ac:dyDescent="0.3">
      <c r="A8" s="524" t="s">
        <v>64</v>
      </c>
      <c r="B8" s="525"/>
      <c r="C8" s="525"/>
      <c r="D8" s="524"/>
      <c r="E8" s="376">
        <f>'Demandeur 1'!B20</f>
        <v>0</v>
      </c>
      <c r="F8" s="371"/>
      <c r="G8" s="376">
        <f>'Demandeur 1'!J20</f>
        <v>0</v>
      </c>
    </row>
    <row r="9" spans="1:7" x14ac:dyDescent="0.3">
      <c r="A9" s="524" t="s">
        <v>182</v>
      </c>
      <c r="B9" s="525"/>
      <c r="C9" s="525"/>
      <c r="D9" s="524"/>
      <c r="E9" s="376">
        <f>'Demandeur 1'!B21</f>
        <v>0</v>
      </c>
      <c r="F9" s="371"/>
      <c r="G9" s="376">
        <f>'Demandeur 1'!J21</f>
        <v>0</v>
      </c>
    </row>
    <row r="10" spans="1:7" x14ac:dyDescent="0.3">
      <c r="A10" s="524" t="s">
        <v>183</v>
      </c>
      <c r="B10" s="525"/>
      <c r="C10" s="525"/>
      <c r="D10" s="524"/>
      <c r="E10" s="376">
        <f>'Demandeur 1'!B22</f>
        <v>0</v>
      </c>
      <c r="F10" s="371"/>
      <c r="G10" s="376">
        <f>'Demandeur 1'!J22</f>
        <v>0</v>
      </c>
    </row>
    <row r="11" spans="1:7" ht="27.75" customHeight="1" x14ac:dyDescent="0.3">
      <c r="A11" s="531" t="s">
        <v>184</v>
      </c>
      <c r="B11" s="532"/>
      <c r="C11" s="532"/>
      <c r="D11" s="531"/>
      <c r="E11" s="377">
        <f>'Demandeur 1'!B23</f>
        <v>0</v>
      </c>
      <c r="F11" s="371"/>
      <c r="G11" s="377">
        <f>'Demandeur 1'!J23</f>
        <v>0</v>
      </c>
    </row>
    <row r="12" spans="1:7" ht="28.5" customHeight="1" x14ac:dyDescent="0.3">
      <c r="A12" s="531" t="s">
        <v>185</v>
      </c>
      <c r="B12" s="532"/>
      <c r="C12" s="532"/>
      <c r="D12" s="531"/>
      <c r="E12" s="377">
        <f>'Demandeur 1'!B24</f>
        <v>0</v>
      </c>
      <c r="F12" s="371"/>
      <c r="G12" s="377">
        <f>'Demandeur 1'!J24</f>
        <v>0</v>
      </c>
    </row>
    <row r="13" spans="1:7" x14ac:dyDescent="0.3">
      <c r="A13" s="531" t="s">
        <v>186</v>
      </c>
      <c r="B13" s="532"/>
      <c r="C13" s="532"/>
      <c r="D13" s="531"/>
      <c r="E13" s="377">
        <f>'Demandeur 1'!B25</f>
        <v>0</v>
      </c>
      <c r="F13" s="371"/>
      <c r="G13" s="377">
        <f>'Demandeur 1'!J25</f>
        <v>0</v>
      </c>
    </row>
    <row r="14" spans="1:7" x14ac:dyDescent="0.3">
      <c r="A14" s="524" t="s">
        <v>90</v>
      </c>
      <c r="B14" s="525"/>
      <c r="C14" s="525"/>
      <c r="D14" s="524"/>
      <c r="E14" s="376">
        <f>'Demandeur 1'!B26</f>
        <v>0</v>
      </c>
      <c r="F14" s="371"/>
      <c r="G14" s="376">
        <f>'Demandeur 1'!J26</f>
        <v>0</v>
      </c>
    </row>
    <row r="15" spans="1:7" x14ac:dyDescent="0.3">
      <c r="A15" s="524" t="s">
        <v>66</v>
      </c>
      <c r="B15" s="525"/>
      <c r="C15" s="525"/>
      <c r="D15" s="524"/>
      <c r="E15" s="376">
        <f>'Demandeur 1'!B27</f>
        <v>0</v>
      </c>
      <c r="F15" s="371"/>
      <c r="G15" s="376">
        <f>'Demandeur 1'!J27</f>
        <v>0</v>
      </c>
    </row>
    <row r="16" spans="1:7" x14ac:dyDescent="0.3">
      <c r="A16" s="524" t="s">
        <v>242</v>
      </c>
      <c r="B16" s="525"/>
      <c r="C16" s="525"/>
      <c r="D16" s="524"/>
      <c r="E16" s="376">
        <f>'Demandeur 1'!B28</f>
        <v>0</v>
      </c>
      <c r="F16" s="371"/>
      <c r="G16" s="376">
        <f>'Demandeur 1'!J28</f>
        <v>0</v>
      </c>
    </row>
    <row r="17" spans="1:7" x14ac:dyDescent="0.3">
      <c r="A17" s="533" t="s">
        <v>81</v>
      </c>
      <c r="B17" s="534"/>
      <c r="C17" s="534"/>
      <c r="D17" s="533"/>
      <c r="E17" s="378">
        <f>'Demandeur 1'!B29</f>
        <v>2500</v>
      </c>
      <c r="F17" s="371"/>
      <c r="G17" s="379">
        <f>'Demandeur 1'!J29</f>
        <v>2500</v>
      </c>
    </row>
    <row r="18" spans="1:7" x14ac:dyDescent="0.3">
      <c r="A18" s="380"/>
      <c r="B18" s="381"/>
      <c r="C18" s="381"/>
      <c r="D18" s="382"/>
      <c r="E18" s="383"/>
      <c r="F18" s="371"/>
      <c r="G18" s="383"/>
    </row>
    <row r="19" spans="1:7" x14ac:dyDescent="0.3">
      <c r="A19" s="384" t="s">
        <v>243</v>
      </c>
      <c r="B19" s="385"/>
      <c r="C19" s="385"/>
      <c r="D19" s="385"/>
      <c r="E19" s="386"/>
      <c r="F19" s="371"/>
      <c r="G19" s="387"/>
    </row>
    <row r="20" spans="1:7" x14ac:dyDescent="0.3">
      <c r="A20" s="533" t="s">
        <v>7</v>
      </c>
      <c r="B20" s="534"/>
      <c r="C20" s="534"/>
      <c r="D20" s="533"/>
      <c r="E20" s="388">
        <f>'Demandeur 1'!B32</f>
        <v>0</v>
      </c>
      <c r="F20" s="371"/>
      <c r="G20" s="389">
        <f>'Demandeur 1'!J32</f>
        <v>0</v>
      </c>
    </row>
    <row r="21" spans="1:7" x14ac:dyDescent="0.3">
      <c r="A21" s="380"/>
      <c r="B21" s="381"/>
      <c r="C21" s="381"/>
      <c r="D21" s="382"/>
      <c r="E21" s="383"/>
      <c r="F21" s="371"/>
      <c r="G21" s="383"/>
    </row>
    <row r="22" spans="1:7" x14ac:dyDescent="0.3">
      <c r="A22" s="535" t="s">
        <v>244</v>
      </c>
      <c r="B22" s="536"/>
      <c r="C22" s="536"/>
      <c r="D22" s="535"/>
      <c r="E22" s="390">
        <f>'Demandeur 1'!B34</f>
        <v>2500</v>
      </c>
      <c r="F22" s="371"/>
      <c r="G22" s="391">
        <f>'Demandeur 1'!J34</f>
        <v>2500</v>
      </c>
    </row>
    <row r="23" spans="1:7" x14ac:dyDescent="0.3">
      <c r="A23" s="380"/>
      <c r="B23" s="381"/>
      <c r="C23" s="381"/>
      <c r="D23" s="382"/>
      <c r="E23" s="371"/>
      <c r="F23" s="371"/>
      <c r="G23" s="371"/>
    </row>
    <row r="24" spans="1:7" x14ac:dyDescent="0.3">
      <c r="A24" s="537" t="s">
        <v>245</v>
      </c>
      <c r="B24" s="538"/>
      <c r="C24" s="538"/>
      <c r="D24" s="537"/>
      <c r="E24" s="392"/>
      <c r="F24" s="371"/>
      <c r="G24" s="371"/>
    </row>
    <row r="25" spans="1:7" x14ac:dyDescent="0.3">
      <c r="A25" s="539" t="s">
        <v>16</v>
      </c>
      <c r="B25" s="539"/>
      <c r="C25" s="539"/>
      <c r="D25" s="539"/>
      <c r="E25" s="393">
        <f>'Demandeur 1'!B41</f>
        <v>0</v>
      </c>
      <c r="F25" s="371"/>
      <c r="G25" s="371"/>
    </row>
    <row r="26" spans="1:7" x14ac:dyDescent="0.3">
      <c r="A26" s="539" t="s">
        <v>59</v>
      </c>
      <c r="B26" s="539"/>
      <c r="C26" s="539"/>
      <c r="D26" s="539"/>
      <c r="E26" s="394">
        <f>'Demandeur 1'!B43</f>
        <v>0</v>
      </c>
      <c r="F26" s="371"/>
      <c r="G26" s="371"/>
    </row>
    <row r="27" spans="1:7" x14ac:dyDescent="0.3">
      <c r="A27" s="533" t="s">
        <v>86</v>
      </c>
      <c r="B27" s="533"/>
      <c r="C27" s="533"/>
      <c r="D27" s="533"/>
      <c r="E27" s="388">
        <f>'Demandeur 1'!B44</f>
        <v>2150</v>
      </c>
      <c r="F27" s="371"/>
      <c r="G27" s="371"/>
    </row>
    <row r="28" spans="1:7" x14ac:dyDescent="0.3">
      <c r="A28" s="380"/>
      <c r="B28" s="380"/>
      <c r="C28" s="380"/>
      <c r="D28" s="380"/>
      <c r="E28" s="371"/>
      <c r="F28" s="371"/>
      <c r="G28" s="371"/>
    </row>
    <row r="29" spans="1:7" x14ac:dyDescent="0.3">
      <c r="A29" s="540" t="s">
        <v>246</v>
      </c>
      <c r="B29" s="540"/>
      <c r="C29" s="540"/>
      <c r="D29" s="540"/>
      <c r="E29" s="395">
        <f>'Demandeur 1'!M48</f>
        <v>1570</v>
      </c>
      <c r="F29" s="371"/>
      <c r="G29" s="371"/>
    </row>
    <row r="30" spans="1:7" x14ac:dyDescent="0.3">
      <c r="A30" s="541" t="s">
        <v>247</v>
      </c>
      <c r="B30" s="541"/>
      <c r="C30" s="541"/>
      <c r="D30" s="541"/>
      <c r="E30" s="396">
        <f>'Demandeur 1'!M49</f>
        <v>0.628</v>
      </c>
      <c r="F30" s="371"/>
      <c r="G30" s="371"/>
    </row>
    <row r="31" spans="1:7" x14ac:dyDescent="0.3">
      <c r="A31" s="380"/>
      <c r="B31" s="380"/>
      <c r="C31" s="380"/>
      <c r="D31" s="380"/>
      <c r="E31" s="371"/>
      <c r="F31" s="371"/>
      <c r="G31" s="371"/>
    </row>
    <row r="32" spans="1:7" x14ac:dyDescent="0.3">
      <c r="A32" s="397" t="s">
        <v>14</v>
      </c>
      <c r="B32" s="398"/>
      <c r="C32" s="398"/>
      <c r="D32" s="398"/>
      <c r="E32" s="399"/>
      <c r="F32" s="371"/>
      <c r="G32" s="371"/>
    </row>
    <row r="33" spans="1:7" x14ac:dyDescent="0.3">
      <c r="A33" s="542" t="s">
        <v>190</v>
      </c>
      <c r="B33" s="542"/>
      <c r="C33" s="542"/>
      <c r="D33" s="542"/>
      <c r="E33" s="400"/>
      <c r="F33" s="371"/>
      <c r="G33" s="371"/>
    </row>
    <row r="34" spans="1:7" x14ac:dyDescent="0.3">
      <c r="A34" s="524" t="s">
        <v>248</v>
      </c>
      <c r="B34" s="524"/>
      <c r="C34" s="524"/>
      <c r="D34" s="524"/>
      <c r="E34" s="376">
        <f>'Demandeur 1'!B51</f>
        <v>0</v>
      </c>
      <c r="F34" s="371"/>
      <c r="G34" s="371"/>
    </row>
    <row r="35" spans="1:7" x14ac:dyDescent="0.3">
      <c r="A35" s="524" t="s">
        <v>249</v>
      </c>
      <c r="B35" s="524"/>
      <c r="C35" s="524"/>
      <c r="D35" s="524"/>
      <c r="E35" s="376">
        <f>'Demandeur 1'!B52</f>
        <v>0</v>
      </c>
      <c r="F35" s="371"/>
      <c r="G35" s="371"/>
    </row>
    <row r="36" spans="1:7" x14ac:dyDescent="0.3">
      <c r="A36" s="524" t="s">
        <v>250</v>
      </c>
      <c r="B36" s="524"/>
      <c r="C36" s="524"/>
      <c r="D36" s="524"/>
      <c r="E36" s="376">
        <f>'Demandeur 1'!B53</f>
        <v>2500</v>
      </c>
      <c r="F36" s="371"/>
      <c r="G36" s="371"/>
    </row>
    <row r="37" spans="1:7" x14ac:dyDescent="0.3">
      <c r="A37" s="543" t="s">
        <v>191</v>
      </c>
      <c r="B37" s="543"/>
      <c r="C37" s="543"/>
      <c r="D37" s="543"/>
      <c r="E37" s="401">
        <f>'Demandeur 1'!B54</f>
        <v>1570</v>
      </c>
      <c r="F37" s="371"/>
      <c r="G37" s="371"/>
    </row>
    <row r="38" spans="1:7" x14ac:dyDescent="0.3">
      <c r="A38" s="531" t="s">
        <v>192</v>
      </c>
      <c r="B38" s="531"/>
      <c r="C38" s="531"/>
      <c r="D38" s="531"/>
      <c r="E38" s="377">
        <f>'Demandeur 1'!B55</f>
        <v>0</v>
      </c>
      <c r="F38" s="371"/>
      <c r="G38" s="371"/>
    </row>
    <row r="39" spans="1:7" x14ac:dyDescent="0.3">
      <c r="A39" s="531" t="s">
        <v>193</v>
      </c>
      <c r="B39" s="531"/>
      <c r="C39" s="531"/>
      <c r="D39" s="531"/>
      <c r="E39" s="377">
        <f>'Demandeur 1'!B56</f>
        <v>0</v>
      </c>
      <c r="F39" s="371"/>
      <c r="G39" s="371"/>
    </row>
    <row r="40" spans="1:7" x14ac:dyDescent="0.3">
      <c r="A40" s="531" t="s">
        <v>251</v>
      </c>
      <c r="B40" s="531"/>
      <c r="C40" s="531"/>
      <c r="D40" s="531"/>
      <c r="E40" s="377">
        <f>'Demandeur 1'!B57</f>
        <v>0</v>
      </c>
      <c r="F40" s="371"/>
      <c r="G40" s="371"/>
    </row>
    <row r="41" spans="1:7" x14ac:dyDescent="0.3">
      <c r="A41" s="531" t="s">
        <v>197</v>
      </c>
      <c r="B41" s="531"/>
      <c r="C41" s="531"/>
      <c r="D41" s="531"/>
      <c r="E41" s="377">
        <f>'Demandeur 1'!B58</f>
        <v>0</v>
      </c>
      <c r="F41" s="371"/>
      <c r="G41" s="371"/>
    </row>
    <row r="42" spans="1:7" x14ac:dyDescent="0.3">
      <c r="A42" s="531" t="s">
        <v>198</v>
      </c>
      <c r="B42" s="531"/>
      <c r="C42" s="531"/>
      <c r="D42" s="531"/>
      <c r="E42" s="377">
        <f>'Demandeur 1'!B59</f>
        <v>0</v>
      </c>
      <c r="F42" s="371"/>
      <c r="G42" s="371"/>
    </row>
    <row r="43" spans="1:7" x14ac:dyDescent="0.3">
      <c r="A43" s="531" t="s">
        <v>199</v>
      </c>
      <c r="B43" s="531"/>
      <c r="C43" s="531"/>
      <c r="D43" s="531"/>
      <c r="E43" s="377">
        <f>'Demandeur 1'!B60</f>
        <v>930</v>
      </c>
      <c r="F43" s="371"/>
      <c r="G43" s="371"/>
    </row>
    <row r="44" spans="1:7" x14ac:dyDescent="0.3">
      <c r="A44" s="531" t="s">
        <v>200</v>
      </c>
      <c r="B44" s="531"/>
      <c r="C44" s="531"/>
      <c r="D44" s="531"/>
      <c r="E44" s="377">
        <f>'Demandeur 1'!B61</f>
        <v>0</v>
      </c>
      <c r="F44" s="371"/>
      <c r="G44" s="371"/>
    </row>
    <row r="45" spans="1:7" x14ac:dyDescent="0.3">
      <c r="A45" s="531" t="s">
        <v>252</v>
      </c>
      <c r="B45" s="531"/>
      <c r="C45" s="531"/>
      <c r="D45" s="531"/>
      <c r="E45" s="377">
        <f>'Demandeur 1'!B62</f>
        <v>0</v>
      </c>
      <c r="F45" s="371"/>
      <c r="G45" s="371"/>
    </row>
    <row r="46" spans="1:7" x14ac:dyDescent="0.3">
      <c r="A46" s="531" t="s">
        <v>202</v>
      </c>
      <c r="B46" s="531"/>
      <c r="C46" s="531"/>
      <c r="D46" s="531"/>
      <c r="E46" s="377">
        <f>'Demandeur 1'!B63</f>
        <v>0</v>
      </c>
      <c r="F46" s="371"/>
      <c r="G46" s="371"/>
    </row>
    <row r="47" spans="1:7" x14ac:dyDescent="0.3">
      <c r="A47" s="531" t="s">
        <v>203</v>
      </c>
      <c r="B47" s="531"/>
      <c r="C47" s="531"/>
      <c r="D47" s="531"/>
      <c r="E47" s="377">
        <f>'Demandeur 1'!B64</f>
        <v>0</v>
      </c>
      <c r="F47" s="371"/>
      <c r="G47" s="371"/>
    </row>
    <row r="48" spans="1:7" x14ac:dyDescent="0.3">
      <c r="A48" s="524" t="s">
        <v>253</v>
      </c>
      <c r="B48" s="524"/>
      <c r="C48" s="524"/>
      <c r="D48" s="524"/>
      <c r="E48" s="376">
        <f>'Demandeur 1'!B65</f>
        <v>0</v>
      </c>
      <c r="F48" s="371"/>
      <c r="G48" s="371"/>
    </row>
    <row r="49" spans="1:7" x14ac:dyDescent="0.3">
      <c r="A49" s="531" t="s">
        <v>254</v>
      </c>
      <c r="B49" s="531"/>
      <c r="C49" s="531"/>
      <c r="D49" s="531"/>
      <c r="E49" s="377">
        <f>'Demandeur 1'!B66</f>
        <v>0</v>
      </c>
      <c r="F49" s="371"/>
      <c r="G49" s="371"/>
    </row>
    <row r="50" spans="1:7" x14ac:dyDescent="0.3">
      <c r="A50" s="531" t="s">
        <v>255</v>
      </c>
      <c r="B50" s="531"/>
      <c r="C50" s="531"/>
      <c r="D50" s="531"/>
      <c r="E50" s="377">
        <f>'Demandeur 1'!B67</f>
        <v>0</v>
      </c>
      <c r="F50" s="371"/>
      <c r="G50" s="371"/>
    </row>
    <row r="51" spans="1:7" x14ac:dyDescent="0.3">
      <c r="A51" s="524" t="s">
        <v>256</v>
      </c>
      <c r="B51" s="524"/>
      <c r="C51" s="524"/>
      <c r="D51" s="524"/>
      <c r="E51" s="402">
        <f>'Demandeur 1'!B68</f>
        <v>0</v>
      </c>
      <c r="F51" s="371"/>
      <c r="G51" s="371"/>
    </row>
    <row r="52" spans="1:7" x14ac:dyDescent="0.3">
      <c r="A52" s="547" t="s">
        <v>65</v>
      </c>
      <c r="B52" s="547"/>
      <c r="C52" s="547"/>
      <c r="D52" s="547"/>
      <c r="E52" s="403">
        <f>'Demandeur 1'!B69</f>
        <v>2500</v>
      </c>
      <c r="F52" s="371"/>
      <c r="G52" s="371"/>
    </row>
    <row r="53" spans="1:7" x14ac:dyDescent="0.3">
      <c r="A53" s="380"/>
      <c r="B53" s="380"/>
      <c r="C53" s="380"/>
      <c r="D53" s="380"/>
      <c r="E53" s="371"/>
      <c r="F53" s="371"/>
      <c r="G53" s="371"/>
    </row>
    <row r="54" spans="1:7" x14ac:dyDescent="0.3">
      <c r="A54" s="404" t="s">
        <v>257</v>
      </c>
      <c r="B54" s="404"/>
      <c r="C54" s="404"/>
      <c r="D54" s="404"/>
      <c r="E54" s="404"/>
      <c r="F54" s="404"/>
      <c r="G54" s="404"/>
    </row>
    <row r="55" spans="1:7" ht="41.4" x14ac:dyDescent="0.3">
      <c r="A55" s="404"/>
      <c r="B55" s="405" t="s">
        <v>118</v>
      </c>
      <c r="C55" s="405" t="s">
        <v>258</v>
      </c>
      <c r="D55" s="405" t="s">
        <v>259</v>
      </c>
      <c r="E55" s="405" t="s">
        <v>124</v>
      </c>
      <c r="F55" s="371"/>
      <c r="G55" s="371"/>
    </row>
    <row r="56" spans="1:7" ht="27.6" x14ac:dyDescent="0.3">
      <c r="A56" s="406" t="s">
        <v>123</v>
      </c>
      <c r="B56" s="407">
        <f>'Demandeur 1'!B12</f>
        <v>2500</v>
      </c>
      <c r="C56" s="407">
        <f>'Demandeur 1'!C12</f>
        <v>2500</v>
      </c>
      <c r="D56" s="407">
        <f>'Demandeur 1'!F12</f>
        <v>1570</v>
      </c>
      <c r="E56" s="408">
        <f>'Demandeur 1'!G12</f>
        <v>0.628</v>
      </c>
      <c r="F56" s="371"/>
      <c r="G56" s="371"/>
    </row>
    <row r="57" spans="1:7" x14ac:dyDescent="0.3">
      <c r="A57" s="380"/>
      <c r="B57" s="380"/>
      <c r="C57" s="380"/>
      <c r="D57" s="380"/>
      <c r="E57" s="371"/>
      <c r="F57" s="371"/>
      <c r="G57" s="371"/>
    </row>
    <row r="58" spans="1:7" x14ac:dyDescent="0.3">
      <c r="A58" s="380" t="s">
        <v>260</v>
      </c>
      <c r="B58" s="380"/>
      <c r="C58" s="380"/>
      <c r="D58" s="380"/>
      <c r="E58" s="371"/>
      <c r="F58" s="371"/>
      <c r="G58" s="371"/>
    </row>
    <row r="59" spans="1:7" x14ac:dyDescent="0.3">
      <c r="A59" s="342"/>
      <c r="B59" s="342"/>
      <c r="C59" s="342"/>
      <c r="D59" s="342"/>
      <c r="E59" s="341"/>
      <c r="F59" s="341"/>
      <c r="G59" s="341"/>
    </row>
    <row r="60" spans="1:7" x14ac:dyDescent="0.3">
      <c r="A60" s="343"/>
      <c r="B60" s="344"/>
      <c r="C60" s="344"/>
      <c r="D60" s="344"/>
      <c r="E60" s="345"/>
      <c r="F60" s="341"/>
      <c r="G60" s="341"/>
    </row>
    <row r="61" spans="1:7" x14ac:dyDescent="0.3">
      <c r="A61" s="346" t="s">
        <v>60</v>
      </c>
      <c r="B61" s="347"/>
      <c r="C61" s="347"/>
      <c r="D61" s="347"/>
      <c r="E61" s="348"/>
      <c r="F61" s="341"/>
      <c r="G61" s="341"/>
    </row>
    <row r="62" spans="1:7" x14ac:dyDescent="0.3">
      <c r="A62" s="349" t="s">
        <v>261</v>
      </c>
      <c r="B62" s="204"/>
      <c r="C62" s="204"/>
      <c r="D62" s="204"/>
      <c r="E62" s="350"/>
      <c r="F62" s="341"/>
      <c r="G62" s="341"/>
    </row>
    <row r="63" spans="1:7" x14ac:dyDescent="0.3">
      <c r="A63" s="351" t="s">
        <v>262</v>
      </c>
      <c r="B63" s="204"/>
      <c r="C63" s="204"/>
      <c r="D63" s="204"/>
      <c r="E63" s="350"/>
      <c r="F63" s="341"/>
      <c r="G63" s="341"/>
    </row>
    <row r="64" spans="1:7" x14ac:dyDescent="0.3">
      <c r="A64" s="351" t="s">
        <v>121</v>
      </c>
      <c r="B64" s="352">
        <f>'Demandeur 1'!B6:G6</f>
        <v>45536</v>
      </c>
      <c r="C64" s="353">
        <f>YEAR($B$64)</f>
        <v>2024</v>
      </c>
      <c r="D64" s="353">
        <f>MONTH(B64)</f>
        <v>9</v>
      </c>
      <c r="E64" s="354">
        <f>DAY(B64)</f>
        <v>1</v>
      </c>
      <c r="F64" s="341"/>
      <c r="G64" s="341"/>
    </row>
    <row r="65" spans="1:9" x14ac:dyDescent="0.3">
      <c r="A65" s="351" t="s">
        <v>122</v>
      </c>
      <c r="B65" s="355">
        <f>'Demandeur 1'!B7:G7</f>
        <v>45473</v>
      </c>
      <c r="C65" s="353">
        <f>YEAR(B65)</f>
        <v>2024</v>
      </c>
      <c r="D65" s="353">
        <f>MONTH(B65)</f>
        <v>6</v>
      </c>
      <c r="E65" s="354">
        <f>DAY(B65)</f>
        <v>30</v>
      </c>
      <c r="F65" s="341"/>
      <c r="G65" s="341"/>
    </row>
    <row r="66" spans="1:9" x14ac:dyDescent="0.3">
      <c r="A66" s="351" t="s">
        <v>263</v>
      </c>
      <c r="B66" s="356" t="e">
        <f>'Demandeur 1'!K7</f>
        <v>#NUM!</v>
      </c>
      <c r="C66" s="357" t="s">
        <v>264</v>
      </c>
      <c r="D66" s="204"/>
      <c r="E66" s="350"/>
      <c r="F66" s="341"/>
      <c r="G66" s="341"/>
    </row>
    <row r="67" spans="1:9" ht="41.4" x14ac:dyDescent="0.3">
      <c r="A67" s="358" t="s">
        <v>265</v>
      </c>
      <c r="B67" s="409">
        <f>EOMONTH(B65,D67)</f>
        <v>45596</v>
      </c>
      <c r="C67" s="204" t="s">
        <v>266</v>
      </c>
      <c r="D67" s="410">
        <v>4</v>
      </c>
      <c r="E67" s="350" t="s">
        <v>95</v>
      </c>
      <c r="F67" s="341"/>
      <c r="G67" s="341"/>
      <c r="I67" s="412"/>
    </row>
    <row r="68" spans="1:9" x14ac:dyDescent="0.3">
      <c r="A68" s="351"/>
      <c r="B68" s="204"/>
      <c r="C68" s="204"/>
      <c r="D68" s="204"/>
      <c r="E68" s="350"/>
      <c r="F68" s="341"/>
      <c r="G68" s="341"/>
    </row>
    <row r="69" spans="1:9" x14ac:dyDescent="0.3">
      <c r="A69" s="351" t="s">
        <v>267</v>
      </c>
      <c r="B69" s="411">
        <f>IF(D56&lt;=23000,1,IF(B66&lt;=24,2,3))</f>
        <v>1</v>
      </c>
      <c r="C69" s="204"/>
      <c r="D69" s="204"/>
      <c r="E69" s="350"/>
      <c r="F69" s="341"/>
      <c r="G69" s="341"/>
    </row>
    <row r="70" spans="1:9" x14ac:dyDescent="0.3">
      <c r="A70" s="351"/>
      <c r="B70" s="204"/>
      <c r="C70" s="204"/>
      <c r="D70" s="204"/>
      <c r="E70" s="350"/>
      <c r="F70" s="341"/>
      <c r="G70" s="341"/>
    </row>
    <row r="71" spans="1:9" x14ac:dyDescent="0.3">
      <c r="A71" s="351"/>
      <c r="B71" s="359" t="s">
        <v>268</v>
      </c>
      <c r="C71" s="359" t="s">
        <v>269</v>
      </c>
      <c r="D71" s="359" t="s">
        <v>270</v>
      </c>
      <c r="E71" s="350"/>
      <c r="F71" s="341"/>
      <c r="G71" s="341"/>
    </row>
    <row r="72" spans="1:9" x14ac:dyDescent="0.3">
      <c r="A72" s="359" t="str">
        <f>IF(D56&lt;=23000,"Versement unique","1er versement")</f>
        <v>Versement unique</v>
      </c>
      <c r="B72" s="360" t="str">
        <f>IF(D56&lt;=23000,"Signature décision","Signature convention")</f>
        <v>Signature décision</v>
      </c>
      <c r="C72" s="361">
        <f>IF(D56&lt;=23000,1,IF($B$69&lt;=2,0.5,0.3))</f>
        <v>1</v>
      </c>
      <c r="D72" s="362">
        <f>C72*$D$56</f>
        <v>1570</v>
      </c>
      <c r="E72" s="350"/>
      <c r="F72" s="341"/>
      <c r="G72" s="341"/>
    </row>
    <row r="73" spans="1:9" x14ac:dyDescent="0.3">
      <c r="A73" s="359" t="str">
        <f>IF(D56&lt;=23000,"",IF(B66&lt;=24,"Solde","2ème versement"))</f>
        <v/>
      </c>
      <c r="B73" s="363" t="str">
        <f>IF(A73="","",IF(A73="solde",B65,DATE(C65,D65-B66/2,E65-1)))</f>
        <v/>
      </c>
      <c r="C73" s="361" t="str">
        <f>IF(D56&lt;=23000,"",IF($B$69&lt;=2,0.5,0.4))</f>
        <v/>
      </c>
      <c r="D73" s="362" t="str">
        <f>IF(C73="","",C73*$D$56)</f>
        <v/>
      </c>
      <c r="E73" s="350"/>
      <c r="F73" s="341"/>
      <c r="G73" s="341"/>
    </row>
    <row r="74" spans="1:9" x14ac:dyDescent="0.3">
      <c r="A74" s="359" t="str">
        <f>IF(D56&lt;=23000,"",IF(B69&lt;3,"","3ème versement"))</f>
        <v/>
      </c>
      <c r="B74" s="363" t="str">
        <f>IF(D56&lt;=23000,"", IF(B66&lt;=24,"",B67))</f>
        <v/>
      </c>
      <c r="C74" s="361" t="str">
        <f>IF(B69&gt;2,0.3,"")</f>
        <v/>
      </c>
      <c r="D74" s="362" t="str">
        <f>IF(C74="","",C74*$D$56)</f>
        <v/>
      </c>
      <c r="E74" s="350"/>
      <c r="F74" s="341"/>
      <c r="G74" s="341"/>
    </row>
    <row r="75" spans="1:9" x14ac:dyDescent="0.3">
      <c r="A75" s="544" t="s">
        <v>13</v>
      </c>
      <c r="B75" s="545"/>
      <c r="C75" s="546"/>
      <c r="D75" s="364">
        <f>SUM(D72:D74)</f>
        <v>1570</v>
      </c>
      <c r="E75" s="350"/>
      <c r="F75" s="341"/>
      <c r="G75" s="341"/>
    </row>
    <row r="76" spans="1:9" x14ac:dyDescent="0.3">
      <c r="A76" s="365"/>
      <c r="B76" s="366"/>
      <c r="C76" s="366"/>
      <c r="D76" s="366"/>
      <c r="E76" s="367"/>
      <c r="F76" s="341"/>
      <c r="G76" s="341"/>
    </row>
    <row r="77" spans="1:9" x14ac:dyDescent="0.3">
      <c r="A77" s="342"/>
      <c r="B77" s="342"/>
      <c r="C77" s="342"/>
      <c r="D77" s="342"/>
      <c r="E77" s="341"/>
      <c r="F77" s="341"/>
      <c r="G77" s="341"/>
    </row>
    <row r="78" spans="1:9" x14ac:dyDescent="0.3">
      <c r="A78" s="342"/>
      <c r="B78" s="342"/>
      <c r="C78" s="342"/>
      <c r="D78" s="342"/>
      <c r="E78" s="341"/>
      <c r="F78" s="341"/>
      <c r="G78" s="341"/>
    </row>
    <row r="79" spans="1:9" x14ac:dyDescent="0.3">
      <c r="A79" s="342"/>
      <c r="B79" s="342"/>
      <c r="C79" s="342"/>
      <c r="D79" s="342"/>
      <c r="E79" s="341"/>
      <c r="F79" s="341"/>
      <c r="G79" s="341"/>
    </row>
    <row r="80" spans="1:9" x14ac:dyDescent="0.3">
      <c r="A80" s="342"/>
      <c r="B80" s="342"/>
      <c r="C80" s="342"/>
      <c r="D80" s="342"/>
      <c r="E80" s="341"/>
      <c r="F80" s="341"/>
      <c r="G80" s="341"/>
    </row>
    <row r="81" spans="1:7" x14ac:dyDescent="0.3">
      <c r="A81" s="342"/>
      <c r="B81" s="342"/>
      <c r="C81" s="342"/>
      <c r="D81" s="342"/>
      <c r="E81" s="341"/>
      <c r="F81" s="341"/>
      <c r="G81" s="341"/>
    </row>
  </sheetData>
  <sheetProtection sheet="1" formatCells="0" formatColumns="0" formatRows="0"/>
  <mergeCells count="43">
    <mergeCell ref="A75:C75"/>
    <mergeCell ref="A47:D47"/>
    <mergeCell ref="A48:D48"/>
    <mergeCell ref="A49:D49"/>
    <mergeCell ref="A50:D50"/>
    <mergeCell ref="A51:D51"/>
    <mergeCell ref="A52:D52"/>
    <mergeCell ref="A46:D46"/>
    <mergeCell ref="A35:D35"/>
    <mergeCell ref="A36:D36"/>
    <mergeCell ref="A37:D37"/>
    <mergeCell ref="A38:D38"/>
    <mergeCell ref="A39:D39"/>
    <mergeCell ref="A40:D40"/>
    <mergeCell ref="A41:D41"/>
    <mergeCell ref="A42:D42"/>
    <mergeCell ref="A43:D43"/>
    <mergeCell ref="A44:D44"/>
    <mergeCell ref="A45:D45"/>
    <mergeCell ref="A34:D34"/>
    <mergeCell ref="A16:D16"/>
    <mergeCell ref="A17:D17"/>
    <mergeCell ref="A20:D20"/>
    <mergeCell ref="A22:D22"/>
    <mergeCell ref="A24:D24"/>
    <mergeCell ref="A25:D25"/>
    <mergeCell ref="A26:D26"/>
    <mergeCell ref="A27:D27"/>
    <mergeCell ref="A29:D29"/>
    <mergeCell ref="A30:D30"/>
    <mergeCell ref="A33:D33"/>
    <mergeCell ref="A15:D15"/>
    <mergeCell ref="A4:D4"/>
    <mergeCell ref="A5:D5"/>
    <mergeCell ref="A6:D6"/>
    <mergeCell ref="A7:D7"/>
    <mergeCell ref="A8:D8"/>
    <mergeCell ref="A9:D9"/>
    <mergeCell ref="A10:D10"/>
    <mergeCell ref="A11:D11"/>
    <mergeCell ref="A12:D12"/>
    <mergeCell ref="A13:D13"/>
    <mergeCell ref="A14:D14"/>
  </mergeCells>
  <dataValidations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Demandeur 1</vt:lpstr>
      <vt:lpstr>Annexe financière convention</vt:lpstr>
      <vt:lpstr>'Demandeur 1'!Impression_des_titres</vt:lpstr>
      <vt:lpstr>'Demandeur 1'!Zone_d_impression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DJERIBI Annabelle</cp:lastModifiedBy>
  <cp:lastPrinted>2023-12-29T17:20:16Z</cp:lastPrinted>
  <dcterms:created xsi:type="dcterms:W3CDTF">2023-02-08T21:39:54Z</dcterms:created>
  <dcterms:modified xsi:type="dcterms:W3CDTF">2024-05-22T15:39:38Z</dcterms:modified>
</cp:coreProperties>
</file>